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40" windowHeight="11760" tabRatio="734" activeTab="0"/>
  </bookViews>
  <sheets>
    <sheet name="!! NOTE !!" sheetId="1" r:id="rId1"/>
    <sheet name="Material Properties" sheetId="2" r:id="rId2"/>
    <sheet name="MX Calc" sheetId="3" r:id="rId3"/>
    <sheet name="MX Clay" sheetId="4" r:id="rId4"/>
    <sheet name="MX Conc." sheetId="5" r:id="rId5"/>
    <sheet name="Peru Calc" sheetId="6" r:id="rId6"/>
    <sheet name="Peru Clay" sheetId="7" r:id="rId7"/>
    <sheet name="Peru Conc." sheetId="8" r:id="rId8"/>
    <sheet name="Chile Calc" sheetId="9" r:id="rId9"/>
    <sheet name="Chile Clay" sheetId="10" r:id="rId10"/>
    <sheet name="Chile Conc." sheetId="11" r:id="rId11"/>
    <sheet name="Colombia Calc" sheetId="12" r:id="rId12"/>
    <sheet name="Col. Clay" sheetId="13" r:id="rId13"/>
    <sheet name="Col. Conc.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kjaiswal</author>
  </authors>
  <commentList>
    <comment ref="D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HAZUS Capacity Spectrum Method,
SPO2IDA method (Vamvastikos and Cornell), RiskUE approach, DBELA approach or Others</t>
        </r>
      </text>
    </comment>
    <comment ref="L3" authorId="0">
      <text>
        <r>
          <rPr>
            <b/>
            <sz val="10"/>
            <rFont val="Tahoma"/>
            <family val="0"/>
          </rPr>
          <t>kjaiswal:</t>
        </r>
        <r>
          <rPr>
            <sz val="10"/>
            <rFont val="Tahoma"/>
            <family val="0"/>
          </rPr>
          <t xml:space="preserve">
Load bearing wall in case of masonry bldgs
OR RC frame (designed or not designed for EQ loading)</t>
        </r>
      </text>
    </comment>
  </commentList>
</comments>
</file>

<file path=xl/sharedStrings.xml><?xml version="1.0" encoding="utf-8"?>
<sst xmlns="http://schemas.openxmlformats.org/spreadsheetml/2006/main" count="1000" uniqueCount="160">
  <si>
    <r>
      <t xml:space="preserve">Riahi, Z., Elwood, K., and Alcocer, S., </t>
    </r>
    <r>
      <rPr>
        <b/>
        <i/>
        <sz val="10"/>
        <rFont val="Arial"/>
        <family val="2"/>
      </rPr>
      <t>Backbone Model for Confined Masonry Walls for Performance-Based Seismic Design</t>
    </r>
    <r>
      <rPr>
        <b/>
        <sz val="10"/>
        <rFont val="Arial"/>
        <family val="2"/>
      </rPr>
      <t>, ASCE Journal of Structural Engineering, pp 644-654, June 2009.</t>
    </r>
  </si>
  <si>
    <t>No horiz panel reinf, no openings, 2 tie columns; 102 compiled experimental studies; monotonic &amp; reverse-cyclic</t>
  </si>
  <si>
    <t>Period (sec):</t>
  </si>
  <si>
    <t>Chile: 2 Story, Clay Brick</t>
  </si>
  <si>
    <t>Chile: 4 Story, Clay Brick</t>
  </si>
  <si>
    <t>Chile: 1 Story, Concrete Block</t>
  </si>
  <si>
    <t>Chile: 2 Story, Concrete Block</t>
  </si>
  <si>
    <t>Chile: 4 Story, Concrete Block</t>
  </si>
  <si>
    <t>Chile: 1 Story, Clay Brick</t>
  </si>
  <si>
    <t>Colombia: 2 Story, Concrete Block</t>
  </si>
  <si>
    <t>Colombia: 4 Story, Concrete Block</t>
  </si>
  <si>
    <t>Colombia: 1 Story, Clay Brick</t>
  </si>
  <si>
    <t>Colombia: 2 Story, Clay Brick</t>
  </si>
  <si>
    <t>Colombia: 4 Story, Clay Brick</t>
  </si>
  <si>
    <t>Colombia: 1 Story, Concrete Block</t>
  </si>
  <si>
    <r>
      <t xml:space="preserve">The spectral plots generated by this file are based on a statistical compilation study performed by Riahi, et al. This investigation consisted of 102 experimental in-plane pushover wall tests, resulting in equations for shear stress and drift determined through regression analysis. I coupled their analytical findings with typical material characteristics </t>
    </r>
    <r>
      <rPr>
        <i/>
        <sz val="10"/>
        <rFont val="Arial"/>
        <family val="2"/>
      </rPr>
      <t>by country</t>
    </r>
    <r>
      <rPr>
        <sz val="10"/>
        <rFont val="Arial"/>
        <family val="0"/>
      </rPr>
      <t>. That data is found in the "Material Properties" tab. I utilized the equations by Riahi, et al, to generate plots for typical Mexican, Peruvian, Chilean, and Colombian residential buildings at 1, 2, and 4 stories, and for Solid Clay Brick and Concrete Block, of typical quality. I assumed that damage concentrated at the first floor is indicative of overall building performance; hence, drift is calculated at the first level, not the roof. Effective mass and height coefficients are based on the SEAOC Blue Book, Table ApplB-7. The number of data points included in the evaluation of v-cracking, v-max, delta-cracking, delta-max, and delta-ult were 80, 39, 42, 37, and 38, respectively.</t>
    </r>
  </si>
  <si>
    <t>Wall Area (m2)</t>
  </si>
  <si>
    <t>(kN)</t>
  </si>
  <si>
    <r>
      <t>v</t>
    </r>
    <r>
      <rPr>
        <vertAlign val="subscript"/>
        <sz val="10"/>
        <rFont val="Arial"/>
        <family val="2"/>
      </rPr>
      <t xml:space="preserve">m </t>
    </r>
    <r>
      <rPr>
        <vertAlign val="superscript"/>
        <sz val="10"/>
        <rFont val="Arial"/>
        <family val="2"/>
      </rPr>
      <t>8</t>
    </r>
  </si>
  <si>
    <t>8. Values in italics were not found in literature; they are averaged from the other available values.</t>
  </si>
  <si>
    <r>
      <t>V</t>
    </r>
    <r>
      <rPr>
        <vertAlign val="subscript"/>
        <sz val="10"/>
        <rFont val="Arial"/>
        <family val="2"/>
      </rPr>
      <t>cr</t>
    </r>
  </si>
  <si>
    <r>
      <t>d</t>
    </r>
    <r>
      <rPr>
        <vertAlign val="subscript"/>
        <sz val="10"/>
        <rFont val="Arial"/>
        <family val="2"/>
      </rPr>
      <t>cr</t>
    </r>
  </si>
  <si>
    <r>
      <t>u</t>
    </r>
    <r>
      <rPr>
        <vertAlign val="subscript"/>
        <sz val="10"/>
        <rFont val="Arial"/>
        <family val="2"/>
      </rPr>
      <t>cr</t>
    </r>
  </si>
  <si>
    <t>(MPa)</t>
  </si>
  <si>
    <t>(d.r.)</t>
  </si>
  <si>
    <r>
      <t>V</t>
    </r>
    <r>
      <rPr>
        <vertAlign val="subscript"/>
        <sz val="10"/>
        <rFont val="Arial"/>
        <family val="2"/>
      </rPr>
      <t>max</t>
    </r>
  </si>
  <si>
    <r>
      <t>u</t>
    </r>
    <r>
      <rPr>
        <vertAlign val="subscript"/>
        <sz val="10"/>
        <rFont val="Arial"/>
        <family val="2"/>
      </rPr>
      <t>max</t>
    </r>
  </si>
  <si>
    <r>
      <t>d</t>
    </r>
    <r>
      <rPr>
        <vertAlign val="subscript"/>
        <sz val="10"/>
        <rFont val="Arial"/>
        <family val="2"/>
      </rPr>
      <t>max</t>
    </r>
  </si>
  <si>
    <r>
      <t>V</t>
    </r>
    <r>
      <rPr>
        <vertAlign val="subscript"/>
        <sz val="10"/>
        <rFont val="Arial"/>
        <family val="2"/>
      </rPr>
      <t>ult</t>
    </r>
  </si>
  <si>
    <r>
      <t>d</t>
    </r>
    <r>
      <rPr>
        <vertAlign val="subscript"/>
        <sz val="10"/>
        <rFont val="Arial"/>
        <family val="2"/>
      </rPr>
      <t>ult</t>
    </r>
  </si>
  <si>
    <t>m</t>
  </si>
  <si>
    <r>
      <t>Mass</t>
    </r>
    <r>
      <rPr>
        <vertAlign val="superscript"/>
        <sz val="10"/>
        <rFont val="Arial"/>
        <family val="2"/>
      </rPr>
      <t xml:space="preserve"> *</t>
    </r>
  </si>
  <si>
    <r>
      <t>* Note: This value corresponds to a 7.5m x 7.25m building footprint with typical 1 ton/m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distributed weight.</t>
    </r>
  </si>
  <si>
    <r>
      <t>K</t>
    </r>
    <r>
      <rPr>
        <vertAlign val="subscript"/>
        <sz val="10"/>
        <rFont val="Arial"/>
        <family val="2"/>
      </rPr>
      <t>eff</t>
    </r>
  </si>
  <si>
    <t>(kN/m)</t>
  </si>
  <si>
    <t>Origin</t>
  </si>
  <si>
    <t>Mexico: 2 Story, Clay Brick</t>
  </si>
  <si>
    <t>Mexico: 4 Story, Clay Brick</t>
  </si>
  <si>
    <t>Peru: 1 Story, Clay Brick</t>
  </si>
  <si>
    <t>Peru: 2 Story, Clay Brick</t>
  </si>
  <si>
    <t>Peru: 4 Story, Clay Brick</t>
  </si>
  <si>
    <t>Mexico: 1 Story, Concrete Block</t>
  </si>
  <si>
    <t>Mexico: 2 Story, Concrete Block</t>
  </si>
  <si>
    <t>Mexico: 4 Story, Concrete Block</t>
  </si>
  <si>
    <t>Eff. Ht. Factor</t>
  </si>
  <si>
    <t>Peru: 1 Story, Concrete Block</t>
  </si>
  <si>
    <t>Peru: 2 Story, Concrete Block</t>
  </si>
  <si>
    <t>Peru: 4 Story, Concrete Block</t>
  </si>
  <si>
    <t>Reference:</t>
  </si>
  <si>
    <t>APPROACH IDENTIFICATION</t>
  </si>
  <si>
    <t>REMARKS</t>
  </si>
  <si>
    <t>STRUCTURAL IDENTIFICATION</t>
  </si>
  <si>
    <t>Geographic</t>
  </si>
  <si>
    <t>Analy-</t>
  </si>
  <si>
    <t>Experi-</t>
  </si>
  <si>
    <t>Test</t>
  </si>
  <si>
    <t>Wall or</t>
  </si>
  <si>
    <t>Specimen</t>
  </si>
  <si>
    <t>Code or</t>
  </si>
  <si>
    <t>Brick</t>
  </si>
  <si>
    <t>Mortar Ratio</t>
  </si>
  <si>
    <t>Axial Stress</t>
  </si>
  <si>
    <t xml:space="preserve">Wall </t>
  </si>
  <si>
    <t>Wall</t>
  </si>
  <si>
    <t>YIELD/CRACKING</t>
  </si>
  <si>
    <t>MAXIMUM</t>
  </si>
  <si>
    <t>ULTIMATE (usually defined by % peak)</t>
  </si>
  <si>
    <t>Location</t>
  </si>
  <si>
    <t>tical?</t>
  </si>
  <si>
    <t>mental?</t>
  </si>
  <si>
    <t>Method</t>
  </si>
  <si>
    <t>System?</t>
  </si>
  <si>
    <t>Geometry?</t>
  </si>
  <si>
    <t>Scale?</t>
  </si>
  <si>
    <t>Actual Construction?</t>
  </si>
  <si>
    <t>Material</t>
  </si>
  <si>
    <t>Cement:Lime:Sand</t>
  </si>
  <si>
    <t>Applied?</t>
  </si>
  <si>
    <t>Length</t>
  </si>
  <si>
    <t>Aspect Ratio</t>
  </si>
  <si>
    <t>DRIFT</t>
  </si>
  <si>
    <t>Remark</t>
  </si>
  <si>
    <t>Std Dev</t>
  </si>
  <si>
    <t>Reported Force</t>
  </si>
  <si>
    <t>Varies</t>
  </si>
  <si>
    <t>X</t>
  </si>
  <si>
    <t>PS</t>
  </si>
  <si>
    <t>1 story</t>
  </si>
  <si>
    <r>
      <t>axial stress &lt; 0.12*f</t>
    </r>
    <r>
      <rPr>
        <vertAlign val="subscript"/>
        <sz val="10"/>
        <rFont val="Arial"/>
        <family val="2"/>
      </rPr>
      <t>m</t>
    </r>
  </si>
  <si>
    <t>0.7 to 1.2</t>
  </si>
  <si>
    <t>cracking</t>
  </si>
  <si>
    <t>0.1 - 0.55 Mpa                         varies</t>
  </si>
  <si>
    <t>0.15 - 0.6+ Mpa                   varies</t>
  </si>
  <si>
    <t>80% peak</t>
  </si>
  <si>
    <t>Analytical P-O model based on experimental PS tests</t>
  </si>
  <si>
    <t>Clay &amp; Concrete</t>
  </si>
  <si>
    <t>Eqn 4 (text)</t>
  </si>
  <si>
    <t>Eqn 1 (text)</t>
  </si>
  <si>
    <t>Eqn 6 (text)</t>
  </si>
  <si>
    <t>Eqn 3 (text)</t>
  </si>
  <si>
    <t>Eqn 5a (text)</t>
  </si>
  <si>
    <t>Full</t>
  </si>
  <si>
    <t>varies</t>
  </si>
  <si>
    <t>Country</t>
  </si>
  <si>
    <t>Typical Range</t>
  </si>
  <si>
    <r>
      <t>f'</t>
    </r>
    <r>
      <rPr>
        <vertAlign val="subscript"/>
        <sz val="10"/>
        <rFont val="Arial"/>
        <family val="2"/>
      </rPr>
      <t>c</t>
    </r>
  </si>
  <si>
    <t>Tie Column Reinforcement</t>
  </si>
  <si>
    <t>Tie Column Conc Compr Strength</t>
  </si>
  <si>
    <r>
      <t>f</t>
    </r>
    <r>
      <rPr>
        <vertAlign val="subscript"/>
        <sz val="10"/>
        <rFont val="Arial"/>
        <family val="2"/>
      </rPr>
      <t>m</t>
    </r>
  </si>
  <si>
    <t>Masonry Compr Strength</t>
  </si>
  <si>
    <t>Seismic Reduction Factor</t>
  </si>
  <si>
    <t>Clay Brick</t>
  </si>
  <si>
    <t>Conc Block</t>
  </si>
  <si>
    <t>0.25-1.1 Mpa</t>
  </si>
  <si>
    <t>2-15 Mpa</t>
  </si>
  <si>
    <t>10-35 Mpa</t>
  </si>
  <si>
    <t>2.5-25 Mpa</t>
  </si>
  <si>
    <t>Masonry Shear Strength from Diag Tests</t>
  </si>
  <si>
    <t>4-5</t>
  </si>
  <si>
    <t>Q = 2</t>
  </si>
  <si>
    <t>1.8 large axial</t>
  </si>
  <si>
    <t>2.5 low axial load</t>
  </si>
  <si>
    <t>Notes and References:</t>
  </si>
  <si>
    <t>1. Unless specifically referenced, data in this table was provided by: L.E. Yamin and L.E. Garcia, 1994. "Masonry Materials," The Masonry Journal Special Publication, SP 147-1, pp. 1-20.</t>
  </si>
  <si>
    <r>
      <t>r</t>
    </r>
    <r>
      <rPr>
        <vertAlign val="subscript"/>
        <sz val="10"/>
        <rFont val="Arial"/>
        <family val="2"/>
      </rPr>
      <t xml:space="preserve">vc 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 xml:space="preserve">yvc </t>
    </r>
    <r>
      <rPr>
        <vertAlign val="superscript"/>
        <sz val="10"/>
        <rFont val="Arial"/>
        <family val="2"/>
      </rPr>
      <t>2</t>
    </r>
  </si>
  <si>
    <r>
      <t xml:space="preserve">2. (4) #3 bars with typical column dims 0.15m x 0.15m is assumed; </t>
    </r>
    <r>
      <rPr>
        <sz val="10"/>
        <rFont val="Symbol"/>
        <family val="1"/>
      </rPr>
      <t>r</t>
    </r>
    <r>
      <rPr>
        <vertAlign val="subscript"/>
        <sz val="10"/>
        <rFont val="Arial"/>
        <family val="2"/>
      </rPr>
      <t>vc</t>
    </r>
    <r>
      <rPr>
        <sz val="10"/>
        <rFont val="Arial"/>
        <family val="0"/>
      </rPr>
      <t>=1.2% and 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=410 Mpa</t>
    </r>
  </si>
  <si>
    <r>
      <t xml:space="preserve">R </t>
    </r>
    <r>
      <rPr>
        <vertAlign val="superscript"/>
        <sz val="10"/>
        <rFont val="Arial"/>
        <family val="2"/>
      </rPr>
      <t>3</t>
    </r>
  </si>
  <si>
    <r>
      <t xml:space="preserve">Peru </t>
    </r>
    <r>
      <rPr>
        <vertAlign val="superscript"/>
        <sz val="10"/>
        <rFont val="Arial"/>
        <family val="2"/>
      </rPr>
      <t>7</t>
    </r>
  </si>
  <si>
    <t>3. Bariola, J., 1994. "Seismic Resistance and Design of Masonry Structures," The Masonry Journal Special Publication 147-3, pp 57-84.</t>
  </si>
  <si>
    <t>4. Hidalgo, P.A., 1994. "Seismic Behavior and Earthquake-Resistant Design of Masonry Buildings in Chile," The Masonry Journal Special Publication 147-12, pp 333-355.</t>
  </si>
  <si>
    <r>
      <t xml:space="preserve">Chile </t>
    </r>
    <r>
      <rPr>
        <vertAlign val="superscript"/>
        <sz val="10"/>
        <rFont val="Arial"/>
        <family val="2"/>
      </rPr>
      <t>4</t>
    </r>
  </si>
  <si>
    <r>
      <t xml:space="preserve">Colombia </t>
    </r>
    <r>
      <rPr>
        <vertAlign val="superscript"/>
        <sz val="10"/>
        <rFont val="Arial"/>
        <family val="2"/>
      </rPr>
      <t>5</t>
    </r>
  </si>
  <si>
    <r>
      <t xml:space="preserve">Mexico </t>
    </r>
    <r>
      <rPr>
        <vertAlign val="superscript"/>
        <sz val="10"/>
        <rFont val="Arial"/>
        <family val="2"/>
      </rPr>
      <t>6</t>
    </r>
  </si>
  <si>
    <t>5. Garcia, L.E. and Yamin, L.E., 1994. "A Review of Masonry Construction in Colombia," The Masonry Journal Special Publication 147-10, pp 283-306.</t>
  </si>
  <si>
    <t>6. Meli, R., 1994. "Structural Design of Masonry Buildings: The Mexican Practice," The Masonry Journal Special Publication SP 147-8, pp.239-262.</t>
  </si>
  <si>
    <t>7. Gallegos, H., 1994. "Masonry in Peru," The Masonry Journal Special Publication SP 147-11, pp 307-331.</t>
  </si>
  <si>
    <r>
      <t xml:space="preserve">Summary of Typical Mechanical Properties of Confined Masonry Construction by Country </t>
    </r>
    <r>
      <rPr>
        <b/>
        <i/>
        <vertAlign val="superscript"/>
        <sz val="12"/>
        <rFont val="Arial"/>
        <family val="2"/>
      </rPr>
      <t>1</t>
    </r>
  </si>
  <si>
    <t>Cracking</t>
  </si>
  <si>
    <t>Maximum</t>
  </si>
  <si>
    <t>Ultimate</t>
  </si>
  <si>
    <t>Mexico: 1 Story, Clay Brick</t>
  </si>
  <si>
    <t>Sd</t>
  </si>
  <si>
    <t>(in)</t>
  </si>
  <si>
    <t>Sa</t>
  </si>
  <si>
    <t>(g)</t>
  </si>
  <si>
    <t>Assumed Values</t>
  </si>
  <si>
    <t>1 Story</t>
  </si>
  <si>
    <t>2 Stories</t>
  </si>
  <si>
    <t>4 Stories</t>
  </si>
  <si>
    <t>Eff. Mass Factor</t>
  </si>
  <si>
    <t>(kg)</t>
  </si>
  <si>
    <r>
      <t>a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</si>
  <si>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3</t>
    </r>
  </si>
  <si>
    <t>Eff. Mass</t>
  </si>
  <si>
    <r>
      <t>Unit Material Coefficient,</t>
    </r>
    <r>
      <rPr>
        <sz val="10"/>
        <rFont val="Symbol"/>
        <family val="1"/>
      </rPr>
      <t xml:space="preserve"> g</t>
    </r>
  </si>
  <si>
    <t>Clay</t>
  </si>
  <si>
    <t>Concrete</t>
  </si>
  <si>
    <t>(m)</t>
  </si>
  <si>
    <t>Height @ Drift Taken</t>
  </si>
  <si>
    <r>
      <t>s</t>
    </r>
    <r>
      <rPr>
        <vertAlign val="subscript"/>
        <sz val="10"/>
        <rFont val="Arial"/>
        <family val="2"/>
      </rPr>
      <t>v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</si>
</sst>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000"/>
    <numFmt numFmtId="170" formatCode="0.00000"/>
    <numFmt numFmtId="171" formatCode="0.000"/>
    <numFmt numFmtId="172" formatCode="0.0000"/>
    <numFmt numFmtId="173" formatCode="0.0000000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"/>
  </numFmts>
  <fonts count="21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9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vertAlign val="superscript"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4"/>
      <color indexed="8"/>
      <name val="Book Antiqua"/>
      <family val="0"/>
    </font>
    <font>
      <sz val="30"/>
      <color indexed="8"/>
      <name val="Book Antiqua"/>
      <family val="0"/>
    </font>
    <font>
      <b/>
      <sz val="20"/>
      <color indexed="8"/>
      <name val="Book Antiqua"/>
      <family val="1"/>
    </font>
    <font>
      <b/>
      <sz val="10"/>
      <name val="Tahoma"/>
      <family val="0"/>
    </font>
    <font>
      <sz val="10"/>
      <name val="Tahoma"/>
      <family val="0"/>
    </font>
    <font>
      <i/>
      <sz val="8"/>
      <name val="Arial"/>
      <family val="2"/>
    </font>
    <font>
      <sz val="14.7"/>
      <color indexed="8"/>
      <name val="Book Antiqu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17" fontId="0" fillId="0" borderId="3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1" fontId="0" fillId="0" borderId="17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5" xfId="0" applyBorder="1" applyAlignment="1">
      <alignment horizontal="center"/>
    </xf>
    <xf numFmtId="171" fontId="0" fillId="0" borderId="16" xfId="0" applyNumberForma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1" fontId="0" fillId="0" borderId="14" xfId="0" applyNumberFormat="1" applyBorder="1" applyAlignment="1">
      <alignment/>
    </xf>
    <xf numFmtId="1" fontId="0" fillId="0" borderId="16" xfId="0" applyNumberFormat="1" applyBorder="1" applyAlignment="1">
      <alignment/>
    </xf>
    <xf numFmtId="170" fontId="0" fillId="0" borderId="16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1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171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71" fontId="0" fillId="0" borderId="7" xfId="0" applyNumberFormat="1" applyBorder="1" applyAlignment="1">
      <alignment/>
    </xf>
    <xf numFmtId="0" fontId="0" fillId="0" borderId="21" xfId="0" applyBorder="1" applyAlignment="1">
      <alignment horizontal="center" wrapText="1"/>
    </xf>
    <xf numFmtId="0" fontId="0" fillId="2" borderId="5" xfId="0" applyFill="1" applyBorder="1" applyAlignment="1">
      <alignment/>
    </xf>
    <xf numFmtId="0" fontId="0" fillId="3" borderId="20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20" fontId="0" fillId="0" borderId="0" xfId="0" applyNumberFormat="1" applyFill="1" applyAlignment="1">
      <alignment vertical="center"/>
    </xf>
    <xf numFmtId="0" fontId="0" fillId="5" borderId="27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7" xfId="0" applyFill="1" applyBorder="1" applyAlignment="1">
      <alignment horizontal="left" vertical="center" wrapText="1"/>
    </xf>
    <xf numFmtId="0" fontId="0" fillId="0" borderId="28" xfId="0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6" borderId="5" xfId="0" applyFill="1" applyBorder="1" applyAlignment="1">
      <alignment horizontal="center"/>
    </xf>
    <xf numFmtId="0" fontId="0" fillId="6" borderId="5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20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" fontId="0" fillId="7" borderId="26" xfId="0" applyNumberFormat="1" applyFill="1" applyBorder="1" applyAlignment="1">
      <alignment/>
    </xf>
    <xf numFmtId="20" fontId="0" fillId="0" borderId="0" xfId="0" applyNumberFormat="1" applyFill="1" applyBorder="1" applyAlignment="1">
      <alignment horizontal="left" vertical="center"/>
    </xf>
    <xf numFmtId="20" fontId="0" fillId="0" borderId="0" xfId="0" applyNumberForma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0" fillId="6" borderId="0" xfId="0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6" borderId="18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3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Mexico: CM with Solid Clay Bricks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'MX Calc'!$B$13:$B$16</c:f>
              <c:numCache>
                <c:ptCount val="4"/>
                <c:pt idx="0">
                  <c:v>0</c:v>
                </c:pt>
                <c:pt idx="1">
                  <c:v>0.19386217273765818</c:v>
                </c:pt>
                <c:pt idx="2">
                  <c:v>0.7560624736768669</c:v>
                </c:pt>
                <c:pt idx="3">
                  <c:v>1.1631730364259492</c:v>
                </c:pt>
              </c:numCache>
            </c:numRef>
          </c:xVal>
          <c:yVal>
            <c:numRef>
              <c:f>'MX Calc'!$C$13:$C$16</c:f>
              <c:numCache>
                <c:ptCount val="4"/>
                <c:pt idx="0">
                  <c:v>0</c:v>
                </c:pt>
                <c:pt idx="1">
                  <c:v>0.1950957073281232</c:v>
                </c:pt>
                <c:pt idx="2">
                  <c:v>0.19509570732812323</c:v>
                </c:pt>
                <c:pt idx="3">
                  <c:v>0.15607656586249857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'MX Calc'!$B$22:$B$25</c:f>
              <c:numCache>
                <c:ptCount val="4"/>
                <c:pt idx="0">
                  <c:v>0</c:v>
                </c:pt>
                <c:pt idx="1">
                  <c:v>0.22017002927027218</c:v>
                </c:pt>
                <c:pt idx="2">
                  <c:v>0.8586631141540615</c:v>
                </c:pt>
                <c:pt idx="3">
                  <c:v>1.3210201756216329</c:v>
                </c:pt>
              </c:numCache>
            </c:numRef>
          </c:xVal>
          <c:yVal>
            <c:numRef>
              <c:f>'MX Calc'!$C$22:$C$25</c:f>
              <c:numCache>
                <c:ptCount val="4"/>
                <c:pt idx="0">
                  <c:v>0</c:v>
                </c:pt>
                <c:pt idx="1">
                  <c:v>0.1230949774103019</c:v>
                </c:pt>
                <c:pt idx="2">
                  <c:v>0.1230949774103019</c:v>
                </c:pt>
                <c:pt idx="3">
                  <c:v>0.09847598192824153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'MX Calc'!$B$31:$B$34</c:f>
              <c:numCache>
                <c:ptCount val="4"/>
                <c:pt idx="0">
                  <c:v>0</c:v>
                </c:pt>
                <c:pt idx="1">
                  <c:v>0.27278574233550024</c:v>
                </c:pt>
                <c:pt idx="2">
                  <c:v>0.8200115663959121</c:v>
                </c:pt>
                <c:pt idx="3">
                  <c:v>1.261556255993711</c:v>
                </c:pt>
              </c:numCache>
            </c:numRef>
          </c:xVal>
          <c:yVal>
            <c:numRef>
              <c:f>'MX Calc'!$C$31:$C$34</c:f>
              <c:numCache>
                <c:ptCount val="4"/>
                <c:pt idx="0">
                  <c:v>0</c:v>
                </c:pt>
                <c:pt idx="1">
                  <c:v>0.08074160687040703</c:v>
                </c:pt>
                <c:pt idx="2">
                  <c:v>0.08074160687040703</c:v>
                </c:pt>
                <c:pt idx="3">
                  <c:v>0.06459328549632562</c:v>
                </c:pt>
              </c:numCache>
            </c:numRef>
          </c:yVal>
          <c:smooth val="0"/>
        </c:ser>
        <c:axId val="9618887"/>
        <c:axId val="19461120"/>
      </c:scatterChart>
      <c:valAx>
        <c:axId val="9618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19461120"/>
        <c:crosses val="autoZero"/>
        <c:crossBetween val="midCat"/>
        <c:dispUnits/>
      </c:valAx>
      <c:valAx>
        <c:axId val="1946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961888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Mexico: CM with Concrete Block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'MX Calc'!$B$41:$B$44</c:f>
              <c:numCache>
                <c:ptCount val="4"/>
                <c:pt idx="0">
                  <c:v>0</c:v>
                </c:pt>
                <c:pt idx="1">
                  <c:v>0.06473357797603632</c:v>
                </c:pt>
                <c:pt idx="2">
                  <c:v>0.25246095410654157</c:v>
                </c:pt>
                <c:pt idx="3">
                  <c:v>0.3884014678562178</c:v>
                </c:pt>
              </c:numCache>
            </c:numRef>
          </c:xVal>
          <c:yVal>
            <c:numRef>
              <c:f>'MX Calc'!$C$41:$C$44</c:f>
              <c:numCache>
                <c:ptCount val="4"/>
                <c:pt idx="0">
                  <c:v>0</c:v>
                </c:pt>
                <c:pt idx="1">
                  <c:v>0.1710839279646619</c:v>
                </c:pt>
                <c:pt idx="2">
                  <c:v>0.17108392796466185</c:v>
                </c:pt>
                <c:pt idx="3">
                  <c:v>0.13686714237172956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'MX Calc'!$B$50:$B$53</c:f>
              <c:numCache>
                <c:ptCount val="4"/>
                <c:pt idx="0">
                  <c:v>0</c:v>
                </c:pt>
                <c:pt idx="1">
                  <c:v>0.074751104524794</c:v>
                </c:pt>
                <c:pt idx="2">
                  <c:v>0.2915293076466966</c:v>
                </c:pt>
                <c:pt idx="3">
                  <c:v>0.448506627148764</c:v>
                </c:pt>
              </c:numCache>
            </c:numRef>
          </c:xVal>
          <c:yVal>
            <c:numRef>
              <c:f>'MX Calc'!$C$50:$C$53</c:f>
              <c:numCache>
                <c:ptCount val="4"/>
                <c:pt idx="0">
                  <c:v>0</c:v>
                </c:pt>
                <c:pt idx="1">
                  <c:v>0.10975509998615673</c:v>
                </c:pt>
                <c:pt idx="2">
                  <c:v>0.10975509998615673</c:v>
                </c:pt>
                <c:pt idx="3">
                  <c:v>0.0878040799889254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'MX Calc'!$B$59:$B$62</c:f>
              <c:numCache>
                <c:ptCount val="4"/>
                <c:pt idx="0">
                  <c:v>0</c:v>
                </c:pt>
                <c:pt idx="1">
                  <c:v>0.09478615762230937</c:v>
                </c:pt>
                <c:pt idx="2">
                  <c:v>0.32608361770109123</c:v>
                </c:pt>
                <c:pt idx="3">
                  <c:v>0.501667104155525</c:v>
                </c:pt>
              </c:numCache>
            </c:numRef>
          </c:xVal>
          <c:yVal>
            <c:numRef>
              <c:f>'MX Calc'!$C$59:$C$62</c:f>
              <c:numCache>
                <c:ptCount val="4"/>
                <c:pt idx="0">
                  <c:v>0</c:v>
                </c:pt>
                <c:pt idx="1">
                  <c:v>0.07367931882233014</c:v>
                </c:pt>
                <c:pt idx="2">
                  <c:v>0.07367931882233014</c:v>
                </c:pt>
                <c:pt idx="3">
                  <c:v>0.058943455057864115</c:v>
                </c:pt>
              </c:numCache>
            </c:numRef>
          </c:yVal>
          <c:smooth val="0"/>
        </c:ser>
        <c:axId val="40932353"/>
        <c:axId val="32846858"/>
      </c:scatterChart>
      <c:valAx>
        <c:axId val="4093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32846858"/>
        <c:crosses val="autoZero"/>
        <c:crossBetween val="midCat"/>
        <c:dispUnits/>
      </c:valAx>
      <c:valAx>
        <c:axId val="3284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409323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Peru: CM with Solid Clay Bricks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89"/>
          <c:w val="0.88875"/>
          <c:h val="0.65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'Peru Calc'!$B$13:$B$16</c:f>
              <c:numCache>
                <c:ptCount val="4"/>
                <c:pt idx="0">
                  <c:v>0</c:v>
                </c:pt>
                <c:pt idx="1">
                  <c:v>0.15401537773795607</c:v>
                </c:pt>
                <c:pt idx="2">
                  <c:v>0.5651895744192811</c:v>
                </c:pt>
                <c:pt idx="3">
                  <c:v>0.8695224221835094</c:v>
                </c:pt>
              </c:numCache>
            </c:numRef>
          </c:xVal>
          <c:yVal>
            <c:numRef>
              <c:f>'Peru Calc'!$C$13:$C$16</c:f>
              <c:numCache>
                <c:ptCount val="4"/>
                <c:pt idx="0">
                  <c:v>0</c:v>
                </c:pt>
                <c:pt idx="1">
                  <c:v>0.2401177936346132</c:v>
                </c:pt>
                <c:pt idx="2">
                  <c:v>0.2401177936346132</c:v>
                </c:pt>
                <c:pt idx="3">
                  <c:v>0.1920942349076906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'Peru Calc'!$B$22:$B$25</c:f>
              <c:numCache>
                <c:ptCount val="4"/>
                <c:pt idx="0">
                  <c:v>0</c:v>
                </c:pt>
                <c:pt idx="1">
                  <c:v>0.1709970261088274</c:v>
                </c:pt>
                <c:pt idx="2">
                  <c:v>0.5363347600684814</c:v>
                </c:pt>
                <c:pt idx="3">
                  <c:v>0.8251304001053559</c:v>
                </c:pt>
              </c:numCache>
            </c:numRef>
          </c:xVal>
          <c:yVal>
            <c:numRef>
              <c:f>'Peru Calc'!$C$22:$C$25</c:f>
              <c:numCache>
                <c:ptCount val="4"/>
                <c:pt idx="0">
                  <c:v>0</c:v>
                </c:pt>
                <c:pt idx="1">
                  <c:v>0.1481072475805741</c:v>
                </c:pt>
                <c:pt idx="2">
                  <c:v>0.14810724758057414</c:v>
                </c:pt>
                <c:pt idx="3">
                  <c:v>0.11848579806445929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'Peru Calc'!$B$31:$B$34</c:f>
              <c:numCache>
                <c:ptCount val="4"/>
                <c:pt idx="0">
                  <c:v>0</c:v>
                </c:pt>
                <c:pt idx="1">
                  <c:v>0.20496032285057003</c:v>
                </c:pt>
                <c:pt idx="2">
                  <c:v>0.5001028596369468</c:v>
                </c:pt>
                <c:pt idx="3">
                  <c:v>0.7693890148260717</c:v>
                </c:pt>
              </c:numCache>
            </c:numRef>
          </c:xVal>
          <c:yVal>
            <c:numRef>
              <c:f>'Peru Calc'!$C$31:$C$34</c:f>
              <c:numCache>
                <c:ptCount val="4"/>
                <c:pt idx="0">
                  <c:v>0</c:v>
                </c:pt>
                <c:pt idx="1">
                  <c:v>0.09398339696055112</c:v>
                </c:pt>
                <c:pt idx="2">
                  <c:v>0.09398339696055112</c:v>
                </c:pt>
                <c:pt idx="3">
                  <c:v>0.0751867175684409</c:v>
                </c:pt>
              </c:numCache>
            </c:numRef>
          </c:yVal>
          <c:smooth val="0"/>
        </c:ser>
        <c:axId val="27186267"/>
        <c:axId val="43349812"/>
      </c:scatterChart>
      <c:valAx>
        <c:axId val="27186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43349812"/>
        <c:crosses val="autoZero"/>
        <c:crossBetween val="midCat"/>
        <c:dispUnits/>
      </c:valAx>
      <c:valAx>
        <c:axId val="43349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718626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248"/>
          <c:w val="0.141"/>
          <c:h val="0.1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Peru: CM with Concrete Block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'Peru Calc'!$B$41:$B$44</c:f>
              <c:numCache>
                <c:ptCount val="4"/>
                <c:pt idx="0">
                  <c:v>0</c:v>
                </c:pt>
                <c:pt idx="1">
                  <c:v>0.07126315403562655</c:v>
                </c:pt>
                <c:pt idx="2">
                  <c:v>0.27792630073894364</c:v>
                </c:pt>
                <c:pt idx="3">
                  <c:v>0.4275789242137594</c:v>
                </c:pt>
              </c:numCache>
            </c:numRef>
          </c:xVal>
          <c:yVal>
            <c:numRef>
              <c:f>'Peru Calc'!$C$41:$C$44</c:f>
              <c:numCache>
                <c:ptCount val="4"/>
                <c:pt idx="0">
                  <c:v>0</c:v>
                </c:pt>
                <c:pt idx="1">
                  <c:v>0.22511043153244983</c:v>
                </c:pt>
                <c:pt idx="2">
                  <c:v>0.2251104315324499</c:v>
                </c:pt>
                <c:pt idx="3">
                  <c:v>0.1800883452259599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'Peru Calc'!$B$50:$B$53</c:f>
              <c:numCache>
                <c:ptCount val="4"/>
                <c:pt idx="0">
                  <c:v>0</c:v>
                </c:pt>
                <c:pt idx="1">
                  <c:v>0.07964441806371597</c:v>
                </c:pt>
                <c:pt idx="2">
                  <c:v>0.2722287392747714</c:v>
                </c:pt>
                <c:pt idx="3">
                  <c:v>0.41881344503810986</c:v>
                </c:pt>
              </c:numCache>
            </c:numRef>
          </c:xVal>
          <c:yVal>
            <c:numRef>
              <c:f>'Peru Calc'!$C$50:$C$53</c:f>
              <c:numCache>
                <c:ptCount val="4"/>
                <c:pt idx="0">
                  <c:v>0</c:v>
                </c:pt>
                <c:pt idx="1">
                  <c:v>0.1397698241904834</c:v>
                </c:pt>
                <c:pt idx="2">
                  <c:v>0.13976982419048337</c:v>
                </c:pt>
                <c:pt idx="3">
                  <c:v>0.1118158593523867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'Peru Calc'!$B$59:$B$62</c:f>
              <c:numCache>
                <c:ptCount val="4"/>
                <c:pt idx="0">
                  <c:v>0</c:v>
                </c:pt>
                <c:pt idx="1">
                  <c:v>0.09640694611989481</c:v>
                </c:pt>
                <c:pt idx="2">
                  <c:v>0.2507614980540284</c:v>
                </c:pt>
                <c:pt idx="3">
                  <c:v>0.38578692008312065</c:v>
                </c:pt>
              </c:numCache>
            </c:numRef>
          </c:xVal>
          <c:yVal>
            <c:numRef>
              <c:f>'Peru Calc'!$C$59:$C$62</c:f>
              <c:numCache>
                <c:ptCount val="4"/>
                <c:pt idx="0">
                  <c:v>0</c:v>
                </c:pt>
                <c:pt idx="1">
                  <c:v>0.08956946693050308</c:v>
                </c:pt>
                <c:pt idx="2">
                  <c:v>0.08956946693050306</c:v>
                </c:pt>
                <c:pt idx="3">
                  <c:v>0.07165557354440245</c:v>
                </c:pt>
              </c:numCache>
            </c:numRef>
          </c:yVal>
          <c:smooth val="0"/>
        </c:ser>
        <c:axId val="54603989"/>
        <c:axId val="21673854"/>
      </c:scatterChart>
      <c:valAx>
        <c:axId val="54603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1673854"/>
        <c:crosses val="autoZero"/>
        <c:crossBetween val="midCat"/>
        <c:dispUnits/>
      </c:valAx>
      <c:valAx>
        <c:axId val="2167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5460398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Chile: CM with Solid Clay Bricks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'Chile Calc'!$B$13:$B$16</c:f>
              <c:numCache>
                <c:ptCount val="4"/>
                <c:pt idx="0">
                  <c:v>0</c:v>
                </c:pt>
                <c:pt idx="1">
                  <c:v>0.21236537011075693</c:v>
                </c:pt>
                <c:pt idx="2">
                  <c:v>0.8104731213603099</c:v>
                </c:pt>
                <c:pt idx="3">
                  <c:v>1.2468817251697075</c:v>
                </c:pt>
              </c:numCache>
            </c:numRef>
          </c:xVal>
          <c:yVal>
            <c:numRef>
              <c:f>'Chile Calc'!$C$13:$C$16</c:f>
              <c:numCache>
                <c:ptCount val="4"/>
                <c:pt idx="0">
                  <c:v>0</c:v>
                </c:pt>
                <c:pt idx="1">
                  <c:v>0.23411484879374786</c:v>
                </c:pt>
                <c:pt idx="2">
                  <c:v>0.2341148487937479</c:v>
                </c:pt>
                <c:pt idx="3">
                  <c:v>0.18729187903499833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'Chile Calc'!$B$22:$B$25</c:f>
              <c:numCache>
                <c:ptCount val="4"/>
                <c:pt idx="0">
                  <c:v>0</c:v>
                </c:pt>
                <c:pt idx="1">
                  <c:v>0.2363810475482941</c:v>
                </c:pt>
                <c:pt idx="2">
                  <c:v>0.7666559918873213</c:v>
                </c:pt>
                <c:pt idx="3">
                  <c:v>1.1794707567497251</c:v>
                </c:pt>
              </c:numCache>
            </c:numRef>
          </c:xVal>
          <c:yVal>
            <c:numRef>
              <c:f>'Chile Calc'!$C$22:$C$25</c:f>
              <c:numCache>
                <c:ptCount val="4"/>
                <c:pt idx="0">
                  <c:v>0</c:v>
                </c:pt>
                <c:pt idx="1">
                  <c:v>0.1447722782245378</c:v>
                </c:pt>
                <c:pt idx="2">
                  <c:v>0.1447722782245378</c:v>
                </c:pt>
                <c:pt idx="3">
                  <c:v>0.11581782257963026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'Chile Calc'!$B$31:$B$34</c:f>
              <c:numCache>
                <c:ptCount val="4"/>
                <c:pt idx="0">
                  <c:v>0</c:v>
                </c:pt>
                <c:pt idx="1">
                  <c:v>0.28441240242336857</c:v>
                </c:pt>
                <c:pt idx="2">
                  <c:v>0.7115024711741841</c:v>
                </c:pt>
                <c:pt idx="3">
                  <c:v>1.0946191864218218</c:v>
                </c:pt>
              </c:numCache>
            </c:numRef>
          </c:xVal>
          <c:yVal>
            <c:numRef>
              <c:f>'Chile Calc'!$C$31:$C$34</c:f>
              <c:numCache>
                <c:ptCount val="4"/>
                <c:pt idx="0">
                  <c:v>0</c:v>
                </c:pt>
                <c:pt idx="1">
                  <c:v>0.09221782494853191</c:v>
                </c:pt>
                <c:pt idx="2">
                  <c:v>0.09221782494853192</c:v>
                </c:pt>
                <c:pt idx="3">
                  <c:v>0.07377425995882554</c:v>
                </c:pt>
              </c:numCache>
            </c:numRef>
          </c:yVal>
          <c:smooth val="0"/>
        </c:ser>
        <c:axId val="60846959"/>
        <c:axId val="10751720"/>
      </c:scatterChart>
      <c:val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10751720"/>
        <c:crosses val="autoZero"/>
        <c:crossBetween val="midCat"/>
        <c:dispUnits/>
      </c:valAx>
      <c:valAx>
        <c:axId val="1075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6084695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Chile: CM with Concrete Block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'Chile Calc'!$B$41:$B$44</c:f>
              <c:numCache>
                <c:ptCount val="4"/>
                <c:pt idx="0">
                  <c:v>0</c:v>
                </c:pt>
                <c:pt idx="1">
                  <c:v>0.06610380479999999</c:v>
                </c:pt>
                <c:pt idx="2">
                  <c:v>0.25780483872</c:v>
                </c:pt>
                <c:pt idx="3">
                  <c:v>0.3966228288</c:v>
                </c:pt>
              </c:numCache>
            </c:numRef>
          </c:xVal>
          <c:yVal>
            <c:numRef>
              <c:f>'Chile Calc'!$C$41:$C$44</c:f>
              <c:numCache>
                <c:ptCount val="4"/>
                <c:pt idx="0">
                  <c:v>0</c:v>
                </c:pt>
                <c:pt idx="1">
                  <c:v>0.19809717974855584</c:v>
                </c:pt>
                <c:pt idx="2">
                  <c:v>0.19809717974855584</c:v>
                </c:pt>
                <c:pt idx="3">
                  <c:v>0.15847774379884474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'Chile Calc'!$B$50:$B$53</c:f>
              <c:numCache>
                <c:ptCount val="4"/>
                <c:pt idx="0">
                  <c:v>0</c:v>
                </c:pt>
                <c:pt idx="1">
                  <c:v>0.07493843279999998</c:v>
                </c:pt>
                <c:pt idx="2">
                  <c:v>0.29225988791999996</c:v>
                </c:pt>
                <c:pt idx="3">
                  <c:v>0.44963059679999995</c:v>
                </c:pt>
              </c:numCache>
            </c:numRef>
          </c:xVal>
          <c:yVal>
            <c:numRef>
              <c:f>'Chile Calc'!$C$50:$C$53</c:f>
              <c:numCache>
                <c:ptCount val="4"/>
                <c:pt idx="0">
                  <c:v>0</c:v>
                </c:pt>
                <c:pt idx="1">
                  <c:v>0.12476246208832004</c:v>
                </c:pt>
                <c:pt idx="2">
                  <c:v>0.12476246208832004</c:v>
                </c:pt>
                <c:pt idx="3">
                  <c:v>0.09980996967065603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'Chile Calc'!$B$59:$B$62</c:f>
              <c:numCache>
                <c:ptCount val="4"/>
                <c:pt idx="0">
                  <c:v>0</c:v>
                </c:pt>
                <c:pt idx="1">
                  <c:v>0.09260768879999999</c:v>
                </c:pt>
                <c:pt idx="2">
                  <c:v>0.27407917808895377</c:v>
                </c:pt>
                <c:pt idx="3">
                  <c:v>0.4216602739830057</c:v>
                </c:pt>
              </c:numCache>
            </c:numRef>
          </c:xVal>
          <c:yVal>
            <c:numRef>
              <c:f>'Chile Calc'!$C$59:$C$62</c:f>
              <c:numCache>
                <c:ptCount val="4"/>
                <c:pt idx="0">
                  <c:v>0</c:v>
                </c:pt>
                <c:pt idx="1">
                  <c:v>0.08162439287641664</c:v>
                </c:pt>
                <c:pt idx="2">
                  <c:v>0.08162439287641664</c:v>
                </c:pt>
                <c:pt idx="3">
                  <c:v>0.0652995143011333</c:v>
                </c:pt>
              </c:numCache>
            </c:numRef>
          </c:yVal>
          <c:smooth val="0"/>
        </c:ser>
        <c:axId val="29656617"/>
        <c:axId val="65582962"/>
      </c:scatterChart>
      <c:val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65582962"/>
        <c:crosses val="autoZero"/>
        <c:crossBetween val="midCat"/>
        <c:dispUnits/>
      </c:val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965661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Colombia: CM with Solid Clay Bricks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'Colombia Calc'!$B$13:$B$16</c:f>
              <c:numCache>
                <c:ptCount val="4"/>
                <c:pt idx="0">
                  <c:v>0</c:v>
                </c:pt>
                <c:pt idx="1">
                  <c:v>0.11771195070450992</c:v>
                </c:pt>
                <c:pt idx="2">
                  <c:v>0.36218299918711105</c:v>
                </c:pt>
                <c:pt idx="3">
                  <c:v>0.557204614134017</c:v>
                </c:pt>
              </c:numCache>
            </c:numRef>
          </c:xVal>
          <c:yVal>
            <c:numRef>
              <c:f>'Colombia Calc'!$C$13:$C$16</c:f>
              <c:numCache>
                <c:ptCount val="4"/>
                <c:pt idx="0">
                  <c:v>0</c:v>
                </c:pt>
                <c:pt idx="1">
                  <c:v>0.2701325178389398</c:v>
                </c:pt>
                <c:pt idx="2">
                  <c:v>0.2701325178389398</c:v>
                </c:pt>
                <c:pt idx="3">
                  <c:v>0.21610601427115192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'Colombia Calc'!$B$22:$B$25</c:f>
              <c:numCache>
                <c:ptCount val="4"/>
                <c:pt idx="0">
                  <c:v>0</c:v>
                </c:pt>
                <c:pt idx="1">
                  <c:v>0.12924870897586388</c:v>
                </c:pt>
                <c:pt idx="2">
                  <c:v>0.348481456366779</c:v>
                </c:pt>
                <c:pt idx="3">
                  <c:v>0.5361253174873523</c:v>
                </c:pt>
              </c:numCache>
            </c:numRef>
          </c:xVal>
          <c:yVal>
            <c:numRef>
              <c:f>'Colombia Calc'!$C$22:$C$25</c:f>
              <c:numCache>
                <c:ptCount val="4"/>
                <c:pt idx="0">
                  <c:v>0</c:v>
                </c:pt>
                <c:pt idx="1">
                  <c:v>0.16478209436075558</c:v>
                </c:pt>
                <c:pt idx="2">
                  <c:v>0.1647820943607556</c:v>
                </c:pt>
                <c:pt idx="3">
                  <c:v>0.1318256754886045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'Colombia Calc'!$B$31:$B$34</c:f>
              <c:numCache>
                <c:ptCount val="4"/>
                <c:pt idx="0">
                  <c:v>0</c:v>
                </c:pt>
                <c:pt idx="1">
                  <c:v>0.1523222255185718</c:v>
                </c:pt>
                <c:pt idx="2">
                  <c:v>0.33173491839476654</c:v>
                </c:pt>
                <c:pt idx="3">
                  <c:v>0.5103614129150255</c:v>
                </c:pt>
              </c:numCache>
            </c:numRef>
          </c:xVal>
          <c:yVal>
            <c:numRef>
              <c:f>'Colombia Calc'!$C$31:$C$34</c:f>
              <c:numCache>
                <c:ptCount val="4"/>
                <c:pt idx="0">
                  <c:v>0</c:v>
                </c:pt>
                <c:pt idx="1">
                  <c:v>0.1028112570206472</c:v>
                </c:pt>
                <c:pt idx="2">
                  <c:v>0.1028112570206472</c:v>
                </c:pt>
                <c:pt idx="3">
                  <c:v>0.08224900561651775</c:v>
                </c:pt>
              </c:numCache>
            </c:numRef>
          </c:yVal>
          <c:smooth val="0"/>
        </c:ser>
        <c:axId val="53375747"/>
        <c:axId val="10619676"/>
      </c:scatterChart>
      <c:val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10619676"/>
        <c:crosses val="autoZero"/>
        <c:crossBetween val="midCat"/>
        <c:dispUnits/>
      </c:val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5337574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Colombia: CM with Concrete Block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189"/>
          <c:w val="0.8895"/>
          <c:h val="0.65425"/>
        </c:manualLayout>
      </c:layout>
      <c:scatterChart>
        <c:scatterStyle val="lineMarker"/>
        <c:varyColors val="0"/>
        <c:ser>
          <c:idx val="0"/>
          <c:order val="0"/>
          <c:tx>
            <c:v>1 Story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'Colombia Calc'!$B$41:$B$44</c:f>
              <c:numCache>
                <c:ptCount val="4"/>
                <c:pt idx="0">
                  <c:v>0</c:v>
                </c:pt>
                <c:pt idx="1">
                  <c:v>0.07011367295446776</c:v>
                </c:pt>
                <c:pt idx="2">
                  <c:v>0.27344332452242426</c:v>
                </c:pt>
                <c:pt idx="3">
                  <c:v>0.42068203772680657</c:v>
                </c:pt>
              </c:numCache>
            </c:numRef>
          </c:xVal>
          <c:yVal>
            <c:numRef>
              <c:f>'Colombia Calc'!$C$41:$C$44</c:f>
              <c:numCache>
                <c:ptCount val="4"/>
                <c:pt idx="0">
                  <c:v>0</c:v>
                </c:pt>
                <c:pt idx="1">
                  <c:v>0.1980971797485559</c:v>
                </c:pt>
                <c:pt idx="2">
                  <c:v>0.19809717974855587</c:v>
                </c:pt>
                <c:pt idx="3">
                  <c:v>0.15847774379884472</c:v>
                </c:pt>
              </c:numCache>
            </c:numRef>
          </c:yVal>
          <c:smooth val="0"/>
        </c:ser>
        <c:ser>
          <c:idx val="1"/>
          <c:order val="1"/>
          <c:tx>
            <c:v>2 Story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'Colombia Calc'!$B$50:$B$53</c:f>
              <c:numCache>
                <c:ptCount val="4"/>
                <c:pt idx="0">
                  <c:v>0</c:v>
                </c:pt>
                <c:pt idx="1">
                  <c:v>0.07948421100655857</c:v>
                </c:pt>
                <c:pt idx="2">
                  <c:v>0.3099884229255785</c:v>
                </c:pt>
                <c:pt idx="3">
                  <c:v>0.4769052660393515</c:v>
                </c:pt>
              </c:numCache>
            </c:numRef>
          </c:xVal>
          <c:yVal>
            <c:numRef>
              <c:f>'Colombia Calc'!$C$50:$C$53</c:f>
              <c:numCache>
                <c:ptCount val="4"/>
                <c:pt idx="0">
                  <c:v>0</c:v>
                </c:pt>
                <c:pt idx="1">
                  <c:v>0.12476246208832004</c:v>
                </c:pt>
                <c:pt idx="2">
                  <c:v>0.12476246208832004</c:v>
                </c:pt>
                <c:pt idx="3">
                  <c:v>0.09980996967065603</c:v>
                </c:pt>
              </c:numCache>
            </c:numRef>
          </c:yVal>
          <c:smooth val="0"/>
        </c:ser>
        <c:ser>
          <c:idx val="2"/>
          <c:order val="2"/>
          <c:tx>
            <c:v>4 Story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'Colombia Calc'!$B$59:$B$62</c:f>
              <c:numCache>
                <c:ptCount val="4"/>
                <c:pt idx="0">
                  <c:v>0</c:v>
                </c:pt>
                <c:pt idx="1">
                  <c:v>0.0982252871107402</c:v>
                </c:pt>
                <c:pt idx="2">
                  <c:v>0.29070486811310187</c:v>
                </c:pt>
                <c:pt idx="3">
                  <c:v>0.4472382586355413</c:v>
                </c:pt>
              </c:numCache>
            </c:numRef>
          </c:xVal>
          <c:yVal>
            <c:numRef>
              <c:f>'Colombia Calc'!$C$59:$C$62</c:f>
              <c:numCache>
                <c:ptCount val="4"/>
                <c:pt idx="0">
                  <c:v>0</c:v>
                </c:pt>
                <c:pt idx="1">
                  <c:v>0.08162439287641664</c:v>
                </c:pt>
                <c:pt idx="2">
                  <c:v>0.08162439287641662</c:v>
                </c:pt>
                <c:pt idx="3">
                  <c:v>0.0652995143011333</c:v>
                </c:pt>
              </c:numCache>
            </c:numRef>
          </c:yVal>
          <c:smooth val="0"/>
        </c:ser>
        <c:axId val="28468221"/>
        <c:axId val="54887398"/>
      </c:scatterChart>
      <c:val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displ., Sd, inches</a:t>
                </a:r>
              </a:p>
            </c:rich>
          </c:tx>
          <c:layout>
            <c:manualLayout>
              <c:xMode val="factor"/>
              <c:yMode val="factor"/>
              <c:x val="0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54887398"/>
        <c:crosses val="autoZero"/>
        <c:crossBetween val="midCat"/>
        <c:dispUnits/>
      </c:val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0" b="0" i="0" u="none" baseline="0"/>
                  <a:t>Spectral accel., g</a:t>
                </a:r>
              </a:p>
            </c:rich>
          </c:tx>
          <c:layout>
            <c:manualLayout>
              <c:xMode val="factor"/>
              <c:yMode val="factor"/>
              <c:x val="-0.006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crossAx val="2846822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4525"/>
          <c:w val="0.140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13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4105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9"/>
  <sheetViews>
    <sheetView tabSelected="1" workbookViewId="0" topLeftCell="K1">
      <selection activeCell="Q6" sqref="Q6"/>
    </sheetView>
  </sheetViews>
  <sheetFormatPr defaultColWidth="8.8515625" defaultRowHeight="12.75"/>
  <cols>
    <col min="1" max="1" width="11.8515625" style="0" customWidth="1"/>
    <col min="2" max="7" width="8.8515625" style="0" customWidth="1"/>
    <col min="8" max="8" width="19.8515625" style="0" customWidth="1"/>
    <col min="9" max="9" width="8.8515625" style="0" customWidth="1"/>
    <col min="10" max="10" width="54.7109375" style="0" bestFit="1" customWidth="1"/>
    <col min="11" max="11" width="8.8515625" style="0" customWidth="1"/>
    <col min="12" max="12" width="14.7109375" style="0" bestFit="1" customWidth="1"/>
    <col min="13" max="13" width="16.8515625" style="0" customWidth="1"/>
    <col min="14" max="14" width="11.140625" style="0" bestFit="1" customWidth="1"/>
    <col min="15" max="15" width="8.8515625" style="0" customWidth="1"/>
    <col min="16" max="16" width="11.7109375" style="0" bestFit="1" customWidth="1"/>
    <col min="17" max="17" width="14.00390625" style="0" customWidth="1"/>
    <col min="18" max="19" width="8.8515625" style="0" customWidth="1"/>
    <col min="20" max="20" width="14.140625" style="0" customWidth="1"/>
    <col min="21" max="22" width="8.8515625" style="0" customWidth="1"/>
    <col min="23" max="23" width="14.8515625" style="0" customWidth="1"/>
    <col min="24" max="24" width="12.00390625" style="0" customWidth="1"/>
    <col min="25" max="25" width="12.7109375" style="0" customWidth="1"/>
    <col min="26" max="26" width="17.421875" style="0" customWidth="1"/>
  </cols>
  <sheetData>
    <row r="1" spans="2:26" ht="12.75" customHeight="1" thickBot="1">
      <c r="B1" s="106" t="s">
        <v>49</v>
      </c>
      <c r="C1" s="106"/>
      <c r="D1" s="106"/>
      <c r="E1" s="106"/>
      <c r="F1" s="106"/>
      <c r="G1" s="106"/>
      <c r="H1" s="106"/>
      <c r="I1" s="107" t="s">
        <v>50</v>
      </c>
      <c r="J1" s="107"/>
      <c r="K1" s="107"/>
      <c r="L1" s="108" t="s">
        <v>51</v>
      </c>
      <c r="M1" s="109"/>
      <c r="N1" s="109"/>
      <c r="O1" s="109"/>
      <c r="P1" s="110"/>
      <c r="Q1" s="71"/>
      <c r="R1" s="71"/>
      <c r="S1" s="71"/>
      <c r="T1" s="71"/>
      <c r="U1" s="71"/>
      <c r="V1" s="71"/>
      <c r="W1" s="71"/>
      <c r="X1" s="71"/>
      <c r="Y1" s="71"/>
      <c r="Z1" s="94"/>
    </row>
    <row r="2" spans="1:26" ht="12.75">
      <c r="A2" s="21" t="s">
        <v>52</v>
      </c>
      <c r="B2" s="72" t="s">
        <v>53</v>
      </c>
      <c r="C2" s="72" t="s">
        <v>54</v>
      </c>
      <c r="D2" s="73" t="s">
        <v>55</v>
      </c>
      <c r="E2" s="73" t="s">
        <v>56</v>
      </c>
      <c r="F2" s="73" t="s">
        <v>57</v>
      </c>
      <c r="G2" s="73"/>
      <c r="H2" s="73" t="s">
        <v>58</v>
      </c>
      <c r="I2" s="74"/>
      <c r="J2" s="75"/>
      <c r="K2" s="75"/>
      <c r="L2" s="85" t="s">
        <v>59</v>
      </c>
      <c r="M2" s="86" t="s">
        <v>60</v>
      </c>
      <c r="N2" s="86" t="s">
        <v>61</v>
      </c>
      <c r="O2" s="86" t="s">
        <v>62</v>
      </c>
      <c r="P2" s="87" t="s">
        <v>63</v>
      </c>
      <c r="Q2" s="120" t="s">
        <v>64</v>
      </c>
      <c r="R2" s="120"/>
      <c r="S2" s="120"/>
      <c r="T2" s="121"/>
      <c r="U2" s="113" t="s">
        <v>65</v>
      </c>
      <c r="V2" s="113"/>
      <c r="W2" s="114"/>
      <c r="X2" s="113" t="s">
        <v>66</v>
      </c>
      <c r="Y2" s="113"/>
      <c r="Z2" s="114"/>
    </row>
    <row r="3" spans="1:26" ht="13.5" thickBot="1">
      <c r="A3" s="23" t="s">
        <v>67</v>
      </c>
      <c r="B3" s="68" t="s">
        <v>68</v>
      </c>
      <c r="C3" s="68" t="s">
        <v>69</v>
      </c>
      <c r="D3" s="68" t="s">
        <v>70</v>
      </c>
      <c r="E3" s="68" t="s">
        <v>71</v>
      </c>
      <c r="F3" s="68" t="s">
        <v>72</v>
      </c>
      <c r="G3" s="68" t="s">
        <v>73</v>
      </c>
      <c r="H3" s="68" t="s">
        <v>74</v>
      </c>
      <c r="I3" s="76"/>
      <c r="J3" s="69"/>
      <c r="K3" s="69"/>
      <c r="L3" s="83" t="s">
        <v>75</v>
      </c>
      <c r="M3" s="70" t="s">
        <v>76</v>
      </c>
      <c r="N3" s="70" t="s">
        <v>77</v>
      </c>
      <c r="O3" s="70" t="s">
        <v>78</v>
      </c>
      <c r="P3" s="84" t="s">
        <v>79</v>
      </c>
      <c r="Q3" s="77" t="s">
        <v>80</v>
      </c>
      <c r="R3" s="77" t="s">
        <v>81</v>
      </c>
      <c r="S3" s="77" t="s">
        <v>82</v>
      </c>
      <c r="T3" s="93" t="s">
        <v>83</v>
      </c>
      <c r="U3" s="77" t="s">
        <v>80</v>
      </c>
      <c r="V3" s="77" t="s">
        <v>82</v>
      </c>
      <c r="W3" s="93" t="s">
        <v>83</v>
      </c>
      <c r="X3" s="77" t="s">
        <v>80</v>
      </c>
      <c r="Y3" s="77" t="s">
        <v>82</v>
      </c>
      <c r="Z3" s="93" t="s">
        <v>83</v>
      </c>
    </row>
    <row r="4" spans="1:26" ht="12.75" customHeight="1">
      <c r="A4" s="80" t="s">
        <v>84</v>
      </c>
      <c r="B4" s="81"/>
      <c r="C4" s="81" t="s">
        <v>85</v>
      </c>
      <c r="D4" s="111" t="s">
        <v>86</v>
      </c>
      <c r="E4" s="112" t="s">
        <v>63</v>
      </c>
      <c r="F4" s="112" t="s">
        <v>87</v>
      </c>
      <c r="G4" s="112" t="s">
        <v>101</v>
      </c>
      <c r="H4" s="112" t="s">
        <v>84</v>
      </c>
      <c r="I4" s="115" t="s">
        <v>1</v>
      </c>
      <c r="J4" s="115"/>
      <c r="K4" s="116"/>
      <c r="L4" s="88" t="s">
        <v>155</v>
      </c>
      <c r="M4" s="104" t="s">
        <v>102</v>
      </c>
      <c r="N4" s="105" t="s">
        <v>88</v>
      </c>
      <c r="O4" s="104" t="s">
        <v>102</v>
      </c>
      <c r="P4" s="118" t="s">
        <v>89</v>
      </c>
      <c r="Q4" s="98">
        <v>0.00122</v>
      </c>
      <c r="R4" s="98" t="s">
        <v>90</v>
      </c>
      <c r="S4" s="98">
        <v>0.00051</v>
      </c>
      <c r="T4" s="118" t="s">
        <v>91</v>
      </c>
      <c r="U4" s="98">
        <v>0.00455</v>
      </c>
      <c r="V4" s="98">
        <v>0.0029</v>
      </c>
      <c r="W4" s="118" t="s">
        <v>92</v>
      </c>
      <c r="X4" s="98">
        <v>0.00765</v>
      </c>
      <c r="Y4" s="98">
        <v>0.0031</v>
      </c>
      <c r="Z4" s="118" t="s">
        <v>93</v>
      </c>
    </row>
    <row r="5" spans="1:26" ht="12.75">
      <c r="A5" s="80"/>
      <c r="B5" s="81"/>
      <c r="C5" s="81" t="s">
        <v>85</v>
      </c>
      <c r="D5" s="111"/>
      <c r="E5" s="112"/>
      <c r="F5" s="112"/>
      <c r="G5" s="112"/>
      <c r="H5" s="112"/>
      <c r="I5" s="117"/>
      <c r="J5" s="117"/>
      <c r="K5" s="118"/>
      <c r="L5" s="88" t="s">
        <v>156</v>
      </c>
      <c r="M5" s="104"/>
      <c r="N5" s="105"/>
      <c r="O5" s="104"/>
      <c r="P5" s="118"/>
      <c r="Q5" s="98">
        <v>0.00111</v>
      </c>
      <c r="R5" s="98" t="s">
        <v>90</v>
      </c>
      <c r="S5" s="98">
        <v>0.00039</v>
      </c>
      <c r="T5" s="118"/>
      <c r="U5" s="98">
        <v>0.00382</v>
      </c>
      <c r="V5" s="98">
        <v>0.00192</v>
      </c>
      <c r="W5" s="118"/>
      <c r="X5" s="98">
        <v>0.00586</v>
      </c>
      <c r="Y5" s="98">
        <v>0.00176</v>
      </c>
      <c r="Z5" s="118"/>
    </row>
    <row r="6" spans="1:26" ht="47.25">
      <c r="A6" s="95"/>
      <c r="B6" s="78" t="s">
        <v>85</v>
      </c>
      <c r="C6" s="78"/>
      <c r="D6" s="79" t="s">
        <v>86</v>
      </c>
      <c r="E6" s="79" t="s">
        <v>63</v>
      </c>
      <c r="F6" s="79" t="s">
        <v>87</v>
      </c>
      <c r="G6" s="79" t="s">
        <v>101</v>
      </c>
      <c r="H6" s="79" t="s">
        <v>84</v>
      </c>
      <c r="I6" s="79" t="s">
        <v>94</v>
      </c>
      <c r="J6" s="79"/>
      <c r="K6" s="79"/>
      <c r="L6" s="90" t="s">
        <v>95</v>
      </c>
      <c r="M6" s="91" t="s">
        <v>102</v>
      </c>
      <c r="N6" s="97" t="s">
        <v>88</v>
      </c>
      <c r="O6" s="91" t="s">
        <v>102</v>
      </c>
      <c r="P6" s="92" t="s">
        <v>89</v>
      </c>
      <c r="Q6" s="96" t="s">
        <v>96</v>
      </c>
      <c r="R6" s="96"/>
      <c r="S6" s="96"/>
      <c r="T6" s="89" t="s">
        <v>97</v>
      </c>
      <c r="U6" s="96" t="s">
        <v>98</v>
      </c>
      <c r="V6" s="96"/>
      <c r="W6" s="89" t="s">
        <v>99</v>
      </c>
      <c r="X6" s="96" t="s">
        <v>100</v>
      </c>
      <c r="Y6" s="96"/>
      <c r="Z6" s="89" t="s">
        <v>93</v>
      </c>
    </row>
    <row r="7" spans="1:18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82"/>
      <c r="N7" s="22"/>
      <c r="O7" s="22"/>
      <c r="P7" s="22"/>
      <c r="Q7" s="22"/>
      <c r="R7" s="22"/>
    </row>
    <row r="8" spans="1:18" ht="1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2:18" ht="12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">
      <c r="A10" s="18" t="s">
        <v>48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">
      <c r="A11" s="18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4" spans="1:17" ht="12.75" customHeight="1">
      <c r="A14" s="119" t="s">
        <v>15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22"/>
      <c r="O14" s="22"/>
      <c r="P14" s="22"/>
      <c r="Q14" s="22"/>
    </row>
    <row r="15" spans="1:17" ht="12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22"/>
      <c r="O15" s="22"/>
      <c r="P15" s="22"/>
      <c r="Q15" s="22"/>
    </row>
    <row r="16" spans="1:17" ht="12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22"/>
      <c r="O16" s="22"/>
      <c r="P16" s="22"/>
      <c r="Q16" s="22"/>
    </row>
    <row r="17" spans="1:17" ht="12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22"/>
      <c r="O17" s="22"/>
      <c r="P17" s="22"/>
      <c r="Q17" s="22"/>
    </row>
    <row r="18" spans="1:17" ht="12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22"/>
      <c r="O18" s="22"/>
      <c r="P18" s="22"/>
      <c r="Q18" s="22"/>
    </row>
    <row r="19" spans="1:17" ht="1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</sheetData>
  <mergeCells count="20">
    <mergeCell ref="X2:Z2"/>
    <mergeCell ref="I4:K5"/>
    <mergeCell ref="A14:M18"/>
    <mergeCell ref="O4:O5"/>
    <mergeCell ref="Q2:T2"/>
    <mergeCell ref="U2:W2"/>
    <mergeCell ref="P4:P5"/>
    <mergeCell ref="T4:T5"/>
    <mergeCell ref="W4:W5"/>
    <mergeCell ref="Z4:Z5"/>
    <mergeCell ref="M4:M5"/>
    <mergeCell ref="N4:N5"/>
    <mergeCell ref="B1:H1"/>
    <mergeCell ref="I1:K1"/>
    <mergeCell ref="L1:P1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23"/>
  <sheetViews>
    <sheetView workbookViewId="0" topLeftCell="A1">
      <selection activeCell="D8" sqref="D8"/>
    </sheetView>
  </sheetViews>
  <sheetFormatPr defaultColWidth="8.8515625" defaultRowHeight="12.75"/>
  <cols>
    <col min="1" max="1" width="11.421875" style="0" customWidth="1"/>
    <col min="2" max="2" width="12.7109375" style="0" bestFit="1" customWidth="1"/>
    <col min="3" max="6" width="12.8515625" style="0" customWidth="1"/>
    <col min="7" max="7" width="15.421875" style="0" bestFit="1" customWidth="1"/>
  </cols>
  <sheetData>
    <row r="1" ht="15">
      <c r="A1" s="20" t="s">
        <v>136</v>
      </c>
    </row>
    <row r="3" spans="1:7" ht="22.5" customHeight="1">
      <c r="A3" s="16"/>
      <c r="B3" s="2"/>
      <c r="C3" s="12" t="s">
        <v>18</v>
      </c>
      <c r="D3" s="13" t="s">
        <v>108</v>
      </c>
      <c r="E3" s="14" t="s">
        <v>124</v>
      </c>
      <c r="F3" s="13" t="s">
        <v>105</v>
      </c>
      <c r="G3" s="13" t="s">
        <v>126</v>
      </c>
    </row>
    <row r="4" spans="1:7" ht="33">
      <c r="A4" s="16"/>
      <c r="B4" s="2"/>
      <c r="C4" s="3" t="s">
        <v>117</v>
      </c>
      <c r="D4" s="3" t="s">
        <v>109</v>
      </c>
      <c r="E4" s="3" t="s">
        <v>106</v>
      </c>
      <c r="F4" s="3" t="s">
        <v>107</v>
      </c>
      <c r="G4" s="3" t="s">
        <v>110</v>
      </c>
    </row>
    <row r="5" spans="1:7" ht="12.75" thickBot="1">
      <c r="A5" s="17" t="s">
        <v>103</v>
      </c>
      <c r="B5" s="4" t="s">
        <v>104</v>
      </c>
      <c r="C5" s="4" t="s">
        <v>113</v>
      </c>
      <c r="D5" s="7" t="s">
        <v>116</v>
      </c>
      <c r="E5" s="5" t="s">
        <v>114</v>
      </c>
      <c r="F5" s="6" t="s">
        <v>115</v>
      </c>
      <c r="G5" s="4"/>
    </row>
    <row r="6" spans="1:7" ht="12">
      <c r="A6" s="124" t="s">
        <v>130</v>
      </c>
      <c r="B6" s="2" t="s">
        <v>111</v>
      </c>
      <c r="C6" s="41">
        <v>0.78</v>
      </c>
      <c r="D6" s="10">
        <v>3</v>
      </c>
      <c r="E6" s="127">
        <v>4.9</v>
      </c>
      <c r="F6" s="127">
        <v>15</v>
      </c>
      <c r="G6" s="129" t="s">
        <v>118</v>
      </c>
    </row>
    <row r="7" spans="1:7" ht="12">
      <c r="A7" s="123"/>
      <c r="B7" s="8" t="s">
        <v>112</v>
      </c>
      <c r="C7" s="40">
        <v>0.66</v>
      </c>
      <c r="D7" s="11">
        <v>9</v>
      </c>
      <c r="E7" s="126"/>
      <c r="F7" s="126"/>
      <c r="G7" s="130"/>
    </row>
    <row r="8" spans="1:7" ht="12">
      <c r="A8" s="122" t="s">
        <v>131</v>
      </c>
      <c r="B8" s="2" t="s">
        <v>111</v>
      </c>
      <c r="C8" s="2">
        <v>0.9</v>
      </c>
      <c r="D8" s="10">
        <v>13</v>
      </c>
      <c r="E8" s="125">
        <v>4.9</v>
      </c>
      <c r="F8" s="128">
        <v>15</v>
      </c>
      <c r="G8" s="128">
        <v>2.5</v>
      </c>
    </row>
    <row r="9" spans="1:7" ht="12">
      <c r="A9" s="123"/>
      <c r="B9" s="8" t="s">
        <v>112</v>
      </c>
      <c r="C9" s="40">
        <v>0.66</v>
      </c>
      <c r="D9" s="11">
        <v>8</v>
      </c>
      <c r="E9" s="126"/>
      <c r="F9" s="126"/>
      <c r="G9" s="126"/>
    </row>
    <row r="10" spans="1:7" ht="12">
      <c r="A10" s="122" t="s">
        <v>132</v>
      </c>
      <c r="B10" s="2" t="s">
        <v>111</v>
      </c>
      <c r="C10" s="2">
        <v>0.65</v>
      </c>
      <c r="D10" s="10">
        <v>2.5</v>
      </c>
      <c r="E10" s="125">
        <v>4.9</v>
      </c>
      <c r="F10" s="128">
        <v>15</v>
      </c>
      <c r="G10" s="128" t="s">
        <v>119</v>
      </c>
    </row>
    <row r="11" spans="1:7" ht="12">
      <c r="A11" s="123"/>
      <c r="B11" s="8" t="s">
        <v>112</v>
      </c>
      <c r="C11" s="8">
        <v>0.57</v>
      </c>
      <c r="D11" s="11">
        <v>7</v>
      </c>
      <c r="E11" s="126"/>
      <c r="F11" s="126"/>
      <c r="G11" s="126"/>
    </row>
    <row r="12" spans="1:7" ht="12">
      <c r="A12" s="122" t="s">
        <v>127</v>
      </c>
      <c r="B12" s="2" t="s">
        <v>111</v>
      </c>
      <c r="C12" s="9">
        <v>0.8</v>
      </c>
      <c r="D12" s="10">
        <v>6</v>
      </c>
      <c r="E12" s="125">
        <v>4.9</v>
      </c>
      <c r="F12" s="128">
        <v>15</v>
      </c>
      <c r="G12" s="2" t="s">
        <v>121</v>
      </c>
    </row>
    <row r="13" spans="1:7" ht="12">
      <c r="A13" s="123"/>
      <c r="B13" s="8" t="s">
        <v>112</v>
      </c>
      <c r="C13" s="8">
        <v>0.75</v>
      </c>
      <c r="D13" s="11">
        <v>10</v>
      </c>
      <c r="E13" s="126"/>
      <c r="F13" s="126"/>
      <c r="G13" s="8" t="s">
        <v>120</v>
      </c>
    </row>
    <row r="15" ht="12">
      <c r="A15" t="s">
        <v>122</v>
      </c>
    </row>
    <row r="16" ht="12">
      <c r="A16" t="s">
        <v>123</v>
      </c>
    </row>
    <row r="17" ht="12">
      <c r="A17" t="s">
        <v>125</v>
      </c>
    </row>
    <row r="18" ht="12">
      <c r="A18" t="s">
        <v>128</v>
      </c>
    </row>
    <row r="19" ht="12">
      <c r="A19" t="s">
        <v>129</v>
      </c>
    </row>
    <row r="20" ht="12">
      <c r="A20" t="s">
        <v>133</v>
      </c>
    </row>
    <row r="21" ht="12">
      <c r="A21" t="s">
        <v>134</v>
      </c>
    </row>
    <row r="22" ht="12">
      <c r="A22" t="s">
        <v>135</v>
      </c>
    </row>
    <row r="23" ht="12">
      <c r="A23" t="s">
        <v>19</v>
      </c>
    </row>
  </sheetData>
  <mergeCells count="15">
    <mergeCell ref="G10:G11"/>
    <mergeCell ref="G8:G9"/>
    <mergeCell ref="G6:G7"/>
    <mergeCell ref="F12:F13"/>
    <mergeCell ref="F10:F11"/>
    <mergeCell ref="F8:F9"/>
    <mergeCell ref="F6:F7"/>
    <mergeCell ref="A12:A13"/>
    <mergeCell ref="A10:A11"/>
    <mergeCell ref="A8:A9"/>
    <mergeCell ref="A6:A7"/>
    <mergeCell ref="E12:E13"/>
    <mergeCell ref="E10:E11"/>
    <mergeCell ref="E8:E9"/>
    <mergeCell ref="E6:E7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62"/>
  <sheetViews>
    <sheetView workbookViewId="0" topLeftCell="A4">
      <selection activeCell="E44" sqref="E44"/>
    </sheetView>
  </sheetViews>
  <sheetFormatPr defaultColWidth="8.8515625" defaultRowHeight="12.75"/>
  <cols>
    <col min="1" max="1" width="12.421875" style="0" customWidth="1"/>
    <col min="2" max="6" width="8.8515625" style="0" customWidth="1"/>
    <col min="7" max="7" width="10.00390625" style="0" bestFit="1" customWidth="1"/>
    <col min="8" max="8" width="11.421875" style="0" bestFit="1" customWidth="1"/>
    <col min="9" max="10" width="11.421875" style="0" customWidth="1"/>
    <col min="11" max="11" width="8.8515625" style="0" customWidth="1"/>
    <col min="12" max="12" width="9.421875" style="0" bestFit="1" customWidth="1"/>
    <col min="13" max="15" width="8.8515625" style="0" customWidth="1"/>
    <col min="16" max="16" width="9.421875" style="0" bestFit="1" customWidth="1"/>
  </cols>
  <sheetData>
    <row r="1" ht="12.75" thickBot="1">
      <c r="A1" s="19" t="s">
        <v>145</v>
      </c>
    </row>
    <row r="2" spans="1:12" ht="25.5" customHeight="1" thickBot="1">
      <c r="A2" s="26"/>
      <c r="B2" s="27" t="s">
        <v>44</v>
      </c>
      <c r="C2" s="27" t="s">
        <v>149</v>
      </c>
      <c r="D2" s="27" t="s">
        <v>31</v>
      </c>
      <c r="E2" s="35" t="s">
        <v>153</v>
      </c>
      <c r="F2" s="38" t="s">
        <v>159</v>
      </c>
      <c r="G2" s="28" t="s">
        <v>158</v>
      </c>
      <c r="I2" s="131" t="s">
        <v>154</v>
      </c>
      <c r="J2" s="132"/>
      <c r="L2" s="39" t="s">
        <v>16</v>
      </c>
    </row>
    <row r="3" spans="1:12" ht="12.75" thickBot="1">
      <c r="A3" s="29"/>
      <c r="B3" s="25" t="s">
        <v>151</v>
      </c>
      <c r="C3" s="4" t="s">
        <v>152</v>
      </c>
      <c r="D3" s="4" t="s">
        <v>150</v>
      </c>
      <c r="E3" s="36" t="s">
        <v>150</v>
      </c>
      <c r="F3" s="23" t="s">
        <v>23</v>
      </c>
      <c r="G3" s="17" t="s">
        <v>157</v>
      </c>
      <c r="I3" s="33" t="s">
        <v>155</v>
      </c>
      <c r="J3" s="67">
        <v>1.13</v>
      </c>
      <c r="L3" s="29">
        <f>2.5*0.15</f>
        <v>0.375</v>
      </c>
    </row>
    <row r="4" spans="1:10" ht="12.75" thickBot="1">
      <c r="A4" s="30" t="s">
        <v>146</v>
      </c>
      <c r="B4" s="10">
        <v>1</v>
      </c>
      <c r="C4" s="10">
        <v>1</v>
      </c>
      <c r="D4" s="2">
        <v>54000</v>
      </c>
      <c r="E4" s="37">
        <f>C4*D4</f>
        <v>54000</v>
      </c>
      <c r="F4" s="16">
        <v>0</v>
      </c>
      <c r="G4" s="24">
        <v>2.5</v>
      </c>
      <c r="I4" s="34" t="s">
        <v>156</v>
      </c>
      <c r="J4" s="66">
        <v>0.72</v>
      </c>
    </row>
    <row r="5" spans="1:7" ht="12">
      <c r="A5" s="30" t="s">
        <v>147</v>
      </c>
      <c r="B5" s="10">
        <v>1</v>
      </c>
      <c r="C5" s="9">
        <v>0.9</v>
      </c>
      <c r="D5" s="2">
        <f>2*D4</f>
        <v>108000</v>
      </c>
      <c r="E5" s="37">
        <f>C5*D5</f>
        <v>97200</v>
      </c>
      <c r="F5" s="16">
        <v>0.1</v>
      </c>
      <c r="G5" s="24">
        <v>2.5</v>
      </c>
    </row>
    <row r="6" spans="1:7" ht="12.75" thickBot="1">
      <c r="A6" s="29" t="s">
        <v>148</v>
      </c>
      <c r="B6" s="31">
        <v>1</v>
      </c>
      <c r="C6" s="32">
        <v>0.85</v>
      </c>
      <c r="D6" s="4">
        <f>D4*4</f>
        <v>216000</v>
      </c>
      <c r="E6" s="36">
        <f>C6*D6</f>
        <v>183600</v>
      </c>
      <c r="F6" s="23">
        <f>F5*3</f>
        <v>0.30000000000000004</v>
      </c>
      <c r="G6" s="17">
        <v>2.5</v>
      </c>
    </row>
    <row r="7" ht="12">
      <c r="A7" s="47" t="s">
        <v>32</v>
      </c>
    </row>
    <row r="10" spans="1:3" ht="12.75" thickBot="1">
      <c r="A10" s="135" t="s">
        <v>140</v>
      </c>
      <c r="B10" s="135"/>
      <c r="C10" s="135"/>
    </row>
    <row r="11" spans="1:16" ht="12">
      <c r="A11" s="133"/>
      <c r="B11" s="48" t="s">
        <v>141</v>
      </c>
      <c r="C11" s="43" t="s">
        <v>143</v>
      </c>
      <c r="E11" s="50" t="s">
        <v>22</v>
      </c>
      <c r="F11" s="48" t="s">
        <v>20</v>
      </c>
      <c r="G11" s="51" t="s">
        <v>21</v>
      </c>
      <c r="H11" s="52" t="s">
        <v>33</v>
      </c>
      <c r="I11" s="50" t="s">
        <v>26</v>
      </c>
      <c r="J11" s="48" t="s">
        <v>25</v>
      </c>
      <c r="K11" s="51" t="s">
        <v>27</v>
      </c>
      <c r="L11" s="52" t="s">
        <v>33</v>
      </c>
      <c r="M11" s="59" t="s">
        <v>28</v>
      </c>
      <c r="N11" s="51" t="s">
        <v>29</v>
      </c>
      <c r="O11" s="51" t="s">
        <v>30</v>
      </c>
      <c r="P11" s="52" t="s">
        <v>33</v>
      </c>
    </row>
    <row r="12" spans="1:16" ht="12">
      <c r="A12" s="134"/>
      <c r="B12" s="15" t="s">
        <v>142</v>
      </c>
      <c r="C12" s="44" t="s">
        <v>144</v>
      </c>
      <c r="E12" s="53" t="s">
        <v>23</v>
      </c>
      <c r="F12" s="15" t="s">
        <v>17</v>
      </c>
      <c r="G12" s="15" t="s">
        <v>24</v>
      </c>
      <c r="H12" s="54" t="s">
        <v>34</v>
      </c>
      <c r="I12" s="53" t="s">
        <v>23</v>
      </c>
      <c r="J12" s="15" t="s">
        <v>17</v>
      </c>
      <c r="K12" s="15" t="s">
        <v>24</v>
      </c>
      <c r="L12" s="54" t="s">
        <v>34</v>
      </c>
      <c r="M12" s="53" t="s">
        <v>17</v>
      </c>
      <c r="N12" s="15" t="s">
        <v>24</v>
      </c>
      <c r="O12" s="1"/>
      <c r="P12" s="54" t="s">
        <v>34</v>
      </c>
    </row>
    <row r="13" spans="1:16" ht="12.75" thickBot="1">
      <c r="A13" s="65" t="s">
        <v>35</v>
      </c>
      <c r="B13" s="37">
        <v>0</v>
      </c>
      <c r="C13" s="24">
        <v>0</v>
      </c>
      <c r="E13" s="55">
        <f>IF((0.424*'Material Properties'!$C$10+0.374*'MX Calc'!$F$4)&gt;'Material Properties'!$C$10,'Material Properties'!$C$10,(0.424*'Material Properties'!$C$10+0.374*'MX Calc'!$F$4))</f>
        <v>0.2756</v>
      </c>
      <c r="F13" s="56">
        <f>$L$3*E13*1000</f>
        <v>103.35</v>
      </c>
      <c r="G13" s="57">
        <f>($J$3*E13/SQRT('Material Properties'!$D$10))/100</f>
        <v>0.001969643614301836</v>
      </c>
      <c r="H13" s="63">
        <f>F13/(G13*$G$4)</f>
        <v>20988.56854094057</v>
      </c>
      <c r="I13" s="55">
        <f>IF((0.21*'Material Properties'!$C$10+0.363*$F$4+0.0141*SQRT('Material Properties'!$E$10*'Material Properties'!$F$10))&lt;E13,E13,(0.21*'Material Properties'!$C$10+0.363*$F$4+0.0141*SQRT('Material Properties'!$E$10*'Material Properties'!$F$10)))</f>
        <v>0.2756</v>
      </c>
      <c r="J13" s="56">
        <f>$L$3*I13*1000</f>
        <v>103.35</v>
      </c>
      <c r="K13" s="58">
        <f>0.65*N13</f>
        <v>0.00768161009577716</v>
      </c>
      <c r="L13" s="63">
        <f>J13/(K13*$G$4)</f>
        <v>5381.684241266814</v>
      </c>
      <c r="M13" s="60">
        <f>0.8*J13</f>
        <v>82.68</v>
      </c>
      <c r="N13" s="58">
        <f>O13*$J$3*I13/SQRT('Material Properties'!$D$10)/100</f>
        <v>0.011817861685811015</v>
      </c>
      <c r="O13" s="61">
        <f>IF(((0.5/(I13^2))+1.3)&gt;6,6,((0.5/(I13^2))+1.3))</f>
        <v>6</v>
      </c>
      <c r="P13" s="63">
        <f>M13/(N13*$G$4)</f>
        <v>2798.4758054587433</v>
      </c>
    </row>
    <row r="14" spans="1:17" ht="12">
      <c r="A14" s="45" t="s">
        <v>137</v>
      </c>
      <c r="B14" s="42">
        <f>$B$4*$G$4*$G13*39.37</f>
        <v>0.19386217273765818</v>
      </c>
      <c r="C14" s="64">
        <f>(B14/39.37)*(H13/$E$4)*(1000/9.81)</f>
        <v>0.1950957073281232</v>
      </c>
      <c r="G14" s="100" t="s">
        <v>2</v>
      </c>
      <c r="H14" s="101">
        <f>2*PI()*SQRT($E$4/H13/1000)</f>
        <v>0.31870240319883575</v>
      </c>
      <c r="I14" s="102"/>
      <c r="J14" s="102"/>
      <c r="K14" s="102"/>
      <c r="L14" s="101">
        <f>2*PI()*SQRT($E$4/L13/1000)</f>
        <v>0.6293868167020832</v>
      </c>
      <c r="M14" s="102"/>
      <c r="N14" s="102"/>
      <c r="O14" s="102"/>
      <c r="P14" s="101">
        <f>2*PI()*SQRT($E$4/P13/1000)</f>
        <v>0.8728024768155445</v>
      </c>
      <c r="Q14" s="99"/>
    </row>
    <row r="15" spans="1:3" ht="12">
      <c r="A15" s="45" t="s">
        <v>138</v>
      </c>
      <c r="B15" s="42">
        <f>$B$4*$G$4*$K13*39.37</f>
        <v>0.7560624736768669</v>
      </c>
      <c r="C15" s="64">
        <f>(B15/39.37)*(L13/$E$4)*(1000/9.81)</f>
        <v>0.19509570732812323</v>
      </c>
    </row>
    <row r="16" spans="1:3" ht="12.75" thickBot="1">
      <c r="A16" s="46" t="s">
        <v>139</v>
      </c>
      <c r="B16" s="49">
        <f>$B$4*$G$4*$N13*39.37</f>
        <v>1.1631730364259492</v>
      </c>
      <c r="C16" s="62">
        <f>(B16/39.37)*(P13/$E$4)*(1000/9.81)</f>
        <v>0.15607656586249857</v>
      </c>
    </row>
    <row r="19" spans="1:3" ht="12.75" thickBot="1">
      <c r="A19" s="135" t="s">
        <v>36</v>
      </c>
      <c r="B19" s="135"/>
      <c r="C19" s="135"/>
    </row>
    <row r="20" spans="1:16" ht="12">
      <c r="A20" s="133"/>
      <c r="B20" s="48" t="s">
        <v>141</v>
      </c>
      <c r="C20" s="43" t="s">
        <v>143</v>
      </c>
      <c r="E20" s="50" t="s">
        <v>22</v>
      </c>
      <c r="F20" s="48" t="s">
        <v>20</v>
      </c>
      <c r="G20" s="51" t="s">
        <v>21</v>
      </c>
      <c r="H20" s="52" t="s">
        <v>33</v>
      </c>
      <c r="I20" s="50" t="s">
        <v>26</v>
      </c>
      <c r="J20" s="48" t="s">
        <v>25</v>
      </c>
      <c r="K20" s="51" t="s">
        <v>27</v>
      </c>
      <c r="L20" s="52" t="s">
        <v>33</v>
      </c>
      <c r="M20" s="59" t="s">
        <v>28</v>
      </c>
      <c r="N20" s="51" t="s">
        <v>29</v>
      </c>
      <c r="O20" s="51" t="s">
        <v>30</v>
      </c>
      <c r="P20" s="52" t="s">
        <v>33</v>
      </c>
    </row>
    <row r="21" spans="1:16" ht="12">
      <c r="A21" s="134"/>
      <c r="B21" s="15" t="s">
        <v>142</v>
      </c>
      <c r="C21" s="44" t="s">
        <v>144</v>
      </c>
      <c r="E21" s="53" t="s">
        <v>23</v>
      </c>
      <c r="F21" s="15" t="s">
        <v>17</v>
      </c>
      <c r="G21" s="15" t="s">
        <v>24</v>
      </c>
      <c r="H21" s="54" t="s">
        <v>34</v>
      </c>
      <c r="I21" s="53" t="s">
        <v>23</v>
      </c>
      <c r="J21" s="15" t="s">
        <v>17</v>
      </c>
      <c r="K21" s="15" t="s">
        <v>24</v>
      </c>
      <c r="L21" s="54" t="s">
        <v>34</v>
      </c>
      <c r="M21" s="53" t="s">
        <v>17</v>
      </c>
      <c r="N21" s="15" t="s">
        <v>24</v>
      </c>
      <c r="O21" s="1"/>
      <c r="P21" s="54" t="s">
        <v>34</v>
      </c>
    </row>
    <row r="22" spans="1:16" ht="12.75" thickBot="1">
      <c r="A22" s="65" t="s">
        <v>35</v>
      </c>
      <c r="B22" s="37">
        <v>0</v>
      </c>
      <c r="C22" s="24">
        <v>0</v>
      </c>
      <c r="E22" s="55">
        <f>IF((0.424*'Material Properties'!$C$10+0.374*'MX Calc'!$F$5)&gt;'Material Properties'!$C$10,'Material Properties'!$C$10,(0.424*'Material Properties'!$C$10+0.374*'MX Calc'!$F$5))</f>
        <v>0.313</v>
      </c>
      <c r="F22" s="56">
        <f>$L$3*E22*1000</f>
        <v>117.375</v>
      </c>
      <c r="G22" s="57">
        <f>($J$3*E22/SQRT('Material Properties'!$D$10))/100</f>
        <v>0.002236931971249908</v>
      </c>
      <c r="H22" s="63">
        <f>F22/(G22*$G$5)</f>
        <v>20988.568540940574</v>
      </c>
      <c r="I22" s="55">
        <f>IF((0.21*'Material Properties'!$C$10+0.363*$F$5+0.0141*SQRT('Material Properties'!$E$10*'Material Properties'!$F$10))&lt;E22,E22,(0.21*'Material Properties'!$C$10+0.363*$F$5+0.0141*SQRT('Material Properties'!$E$10*'Material Properties'!$F$10)))</f>
        <v>0.313</v>
      </c>
      <c r="J22" s="56">
        <f>$L$3*I22*1000</f>
        <v>117.375</v>
      </c>
      <c r="K22" s="58">
        <f>0.65*N22</f>
        <v>0.008724034687874641</v>
      </c>
      <c r="L22" s="63">
        <f>J22/(K22*$G$6)</f>
        <v>5381.684241266814</v>
      </c>
      <c r="M22" s="60">
        <f>0.8*J22</f>
        <v>93.9</v>
      </c>
      <c r="N22" s="58">
        <f>O22*$J$3*I22/SQRT('Material Properties'!$D$10)/100</f>
        <v>0.013421591827499448</v>
      </c>
      <c r="O22" s="61">
        <f>IF(((0.5/(I22^2))+1.3)&gt;6,6,((0.5/(I22^2))+1.3))</f>
        <v>6</v>
      </c>
      <c r="P22" s="63">
        <f>M22/(N22*$G$5)</f>
        <v>2798.4758054587437</v>
      </c>
    </row>
    <row r="23" spans="1:16" ht="12">
      <c r="A23" s="45" t="s">
        <v>137</v>
      </c>
      <c r="B23" s="42">
        <f>$B$5*$G$5*$G22*39.37</f>
        <v>0.22017002927027218</v>
      </c>
      <c r="C23" s="64">
        <f>(B23/39.37)*(H22/$E$5)*(1000/9.81)</f>
        <v>0.1230949774103019</v>
      </c>
      <c r="G23" s="100" t="s">
        <v>2</v>
      </c>
      <c r="H23" s="101">
        <f>2*PI()*SQRT($E$5/H22/1000)</f>
        <v>0.4275841428870858</v>
      </c>
      <c r="I23" s="101"/>
      <c r="J23" s="101"/>
      <c r="K23" s="101"/>
      <c r="L23" s="101">
        <f>2*PI()*SQRT($E$5/L22/1000)</f>
        <v>0.8444110237728348</v>
      </c>
      <c r="M23" s="101"/>
      <c r="N23" s="101"/>
      <c r="O23" s="101"/>
      <c r="P23" s="101">
        <f>2*PI()*SQRT($E$5/P22/1000)</f>
        <v>1.170987401453845</v>
      </c>
    </row>
    <row r="24" spans="1:3" ht="12">
      <c r="A24" s="45" t="s">
        <v>138</v>
      </c>
      <c r="B24" s="42">
        <f>$B$5*$G$5*$K22*39.37</f>
        <v>0.8586631141540615</v>
      </c>
      <c r="C24" s="64">
        <f>(B24/39.37)*(L22/$E$5)*(1000/9.81)</f>
        <v>0.1230949774103019</v>
      </c>
    </row>
    <row r="25" spans="1:3" ht="12.75" thickBot="1">
      <c r="A25" s="46" t="s">
        <v>139</v>
      </c>
      <c r="B25" s="49">
        <f>$B$5*$G$5*$N22*39.37</f>
        <v>1.3210201756216329</v>
      </c>
      <c r="C25" s="62">
        <f>(B25/39.37)*(P22/$E$5)*(1000/9.81)</f>
        <v>0.09847598192824153</v>
      </c>
    </row>
    <row r="28" spans="1:3" ht="12.75" thickBot="1">
      <c r="A28" s="135" t="s">
        <v>37</v>
      </c>
      <c r="B28" s="135"/>
      <c r="C28" s="135"/>
    </row>
    <row r="29" spans="1:16" ht="12">
      <c r="A29" s="133"/>
      <c r="B29" s="48" t="s">
        <v>141</v>
      </c>
      <c r="C29" s="43" t="s">
        <v>143</v>
      </c>
      <c r="E29" s="50" t="s">
        <v>22</v>
      </c>
      <c r="F29" s="48" t="s">
        <v>20</v>
      </c>
      <c r="G29" s="51" t="s">
        <v>21</v>
      </c>
      <c r="H29" s="52" t="s">
        <v>33</v>
      </c>
      <c r="I29" s="50" t="s">
        <v>26</v>
      </c>
      <c r="J29" s="48" t="s">
        <v>25</v>
      </c>
      <c r="K29" s="51" t="s">
        <v>27</v>
      </c>
      <c r="L29" s="52" t="s">
        <v>33</v>
      </c>
      <c r="M29" s="59" t="s">
        <v>28</v>
      </c>
      <c r="N29" s="51" t="s">
        <v>29</v>
      </c>
      <c r="O29" s="51" t="s">
        <v>30</v>
      </c>
      <c r="P29" s="52" t="s">
        <v>33</v>
      </c>
    </row>
    <row r="30" spans="1:16" ht="12">
      <c r="A30" s="134"/>
      <c r="B30" s="15" t="s">
        <v>142</v>
      </c>
      <c r="C30" s="44" t="s">
        <v>144</v>
      </c>
      <c r="E30" s="53" t="s">
        <v>23</v>
      </c>
      <c r="F30" s="15" t="s">
        <v>17</v>
      </c>
      <c r="G30" s="15" t="s">
        <v>24</v>
      </c>
      <c r="H30" s="54" t="s">
        <v>34</v>
      </c>
      <c r="I30" s="53" t="s">
        <v>23</v>
      </c>
      <c r="J30" s="15" t="s">
        <v>17</v>
      </c>
      <c r="K30" s="15" t="s">
        <v>24</v>
      </c>
      <c r="L30" s="54" t="s">
        <v>34</v>
      </c>
      <c r="M30" s="53" t="s">
        <v>17</v>
      </c>
      <c r="N30" s="15" t="s">
        <v>24</v>
      </c>
      <c r="O30" s="1"/>
      <c r="P30" s="54" t="s">
        <v>34</v>
      </c>
    </row>
    <row r="31" spans="1:16" ht="12.75" thickBot="1">
      <c r="A31" s="65" t="s">
        <v>35</v>
      </c>
      <c r="B31" s="37">
        <v>0</v>
      </c>
      <c r="C31" s="24">
        <v>0</v>
      </c>
      <c r="E31" s="55">
        <f>IF((0.424*'Material Properties'!$C$10+0.374*'MX Calc'!$F$6)&gt;'Material Properties'!$C$10,'Material Properties'!$C$10,(0.424*'Material Properties'!$C$10+0.374*'MX Calc'!$F$6))</f>
        <v>0.38780000000000003</v>
      </c>
      <c r="F31" s="56">
        <f>$L$3*E31*1000</f>
        <v>145.42500000000004</v>
      </c>
      <c r="G31" s="57">
        <f>($J$3*E31/SQRT('Material Properties'!$D$10))/100</f>
        <v>0.0027715086851460525</v>
      </c>
      <c r="H31" s="63">
        <f>F31/(G31*$G$6)</f>
        <v>20988.568540940574</v>
      </c>
      <c r="I31" s="55">
        <f>IF((0.21*'Material Properties'!$C$10+0.363*$F$6+0.0141*SQRT('Material Properties'!$E$10*'Material Properties'!$F$10))&lt;E31,E31,(0.21*'Material Properties'!$C$10+0.363*$F$6+0.0141*SQRT('Material Properties'!$E$10*'Material Properties'!$F$10)))</f>
        <v>0.38780000000000003</v>
      </c>
      <c r="J31" s="56">
        <f>$L$3*I31*1000</f>
        <v>145.42500000000004</v>
      </c>
      <c r="K31" s="58">
        <f>0.65*N31</f>
        <v>0.008331334177250823</v>
      </c>
      <c r="L31" s="63">
        <f>J31/(K31*$G$6)</f>
        <v>6982.0749909224</v>
      </c>
      <c r="M31" s="60">
        <f>0.8*J31</f>
        <v>116.34000000000003</v>
      </c>
      <c r="N31" s="58">
        <f>O31*$J$3*I31/SQRT('Material Properties'!$D$10)/100</f>
        <v>0.012817437195770496</v>
      </c>
      <c r="O31" s="61">
        <f>IF(((0.5/(I31^2))+1.3)&gt;6,6,((0.5/(I31^2))+1.3))</f>
        <v>4.624714786017366</v>
      </c>
      <c r="P31" s="63">
        <f>M31/(N31*$G$6)</f>
        <v>3630.678995279648</v>
      </c>
    </row>
    <row r="32" spans="1:16" ht="12">
      <c r="A32" s="45" t="s">
        <v>137</v>
      </c>
      <c r="B32" s="42">
        <f>$B$6*$G$6*$G31*39.37</f>
        <v>0.27278574233550024</v>
      </c>
      <c r="C32" s="64">
        <f>(B32/39.37)*(H31/$E$6)*(1000/9.81)</f>
        <v>0.08074160687040703</v>
      </c>
      <c r="G32" s="100" t="s">
        <v>2</v>
      </c>
      <c r="H32" s="101">
        <f>2*PI()*SQRT($E$6/H31/1000)</f>
        <v>0.5876581949875497</v>
      </c>
      <c r="I32" s="101"/>
      <c r="J32" s="101"/>
      <c r="K32" s="101"/>
      <c r="L32" s="101">
        <f>2*PI()*SQRT($E$6/L31/1000)</f>
        <v>1.0188821463762017</v>
      </c>
      <c r="M32" s="101"/>
      <c r="N32" s="101"/>
      <c r="O32" s="101"/>
      <c r="P32" s="101">
        <f>2*PI()*SQRT($E$6/P31/1000)</f>
        <v>1.4129353163131542</v>
      </c>
    </row>
    <row r="33" spans="1:3" ht="12">
      <c r="A33" s="45" t="s">
        <v>138</v>
      </c>
      <c r="B33" s="42">
        <f>$B$6*$G$6*$K31*39.37</f>
        <v>0.8200115663959121</v>
      </c>
      <c r="C33" s="64">
        <f>(B33/39.37)*(L31/$E$6)*(1000/9.81)</f>
        <v>0.08074160687040703</v>
      </c>
    </row>
    <row r="34" spans="1:3" ht="12.75" thickBot="1">
      <c r="A34" s="46" t="s">
        <v>139</v>
      </c>
      <c r="B34" s="49">
        <f>$B$6*$G$6*$N31*39.37</f>
        <v>1.261556255993711</v>
      </c>
      <c r="C34" s="62">
        <f>(B34/39.37)*(P31/$E$6)*(1000/9.81)</f>
        <v>0.06459328549632562</v>
      </c>
    </row>
    <row r="38" spans="1:3" ht="12.75" thickBot="1">
      <c r="A38" s="136" t="s">
        <v>41</v>
      </c>
      <c r="B38" s="136"/>
      <c r="C38" s="136"/>
    </row>
    <row r="39" spans="1:16" ht="12">
      <c r="A39" s="133"/>
      <c r="B39" s="48" t="s">
        <v>141</v>
      </c>
      <c r="C39" s="43" t="s">
        <v>143</v>
      </c>
      <c r="E39" s="50" t="s">
        <v>22</v>
      </c>
      <c r="F39" s="48" t="s">
        <v>20</v>
      </c>
      <c r="G39" s="51" t="s">
        <v>21</v>
      </c>
      <c r="H39" s="52" t="s">
        <v>33</v>
      </c>
      <c r="I39" s="50" t="s">
        <v>26</v>
      </c>
      <c r="J39" s="48" t="s">
        <v>25</v>
      </c>
      <c r="K39" s="51" t="s">
        <v>27</v>
      </c>
      <c r="L39" s="52" t="s">
        <v>33</v>
      </c>
      <c r="M39" s="59" t="s">
        <v>28</v>
      </c>
      <c r="N39" s="51" t="s">
        <v>29</v>
      </c>
      <c r="O39" s="51" t="s">
        <v>30</v>
      </c>
      <c r="P39" s="52" t="s">
        <v>33</v>
      </c>
    </row>
    <row r="40" spans="1:16" ht="12">
      <c r="A40" s="134"/>
      <c r="B40" s="15" t="s">
        <v>142</v>
      </c>
      <c r="C40" s="44" t="s">
        <v>144</v>
      </c>
      <c r="E40" s="53" t="s">
        <v>23</v>
      </c>
      <c r="F40" s="15" t="s">
        <v>17</v>
      </c>
      <c r="G40" s="15" t="s">
        <v>24</v>
      </c>
      <c r="H40" s="54" t="s">
        <v>34</v>
      </c>
      <c r="I40" s="53" t="s">
        <v>23</v>
      </c>
      <c r="J40" s="15" t="s">
        <v>17</v>
      </c>
      <c r="K40" s="15" t="s">
        <v>24</v>
      </c>
      <c r="L40" s="54" t="s">
        <v>34</v>
      </c>
      <c r="M40" s="53" t="s">
        <v>17</v>
      </c>
      <c r="N40" s="15" t="s">
        <v>24</v>
      </c>
      <c r="O40" s="1"/>
      <c r="P40" s="54" t="s">
        <v>34</v>
      </c>
    </row>
    <row r="41" spans="1:16" ht="12.75" thickBot="1">
      <c r="A41" s="65" t="s">
        <v>35</v>
      </c>
      <c r="B41" s="37">
        <v>0</v>
      </c>
      <c r="C41" s="24">
        <v>0</v>
      </c>
      <c r="E41" s="55">
        <f>IF((0.424*'Material Properties'!$C$11+0.374*'MX Calc'!$F$4)&gt;'Material Properties'!$C$11,'Material Properties'!$C$11,(0.424*'Material Properties'!$C$11+0.374*'MX Calc'!$F$4))</f>
        <v>0.24167999999999998</v>
      </c>
      <c r="F41" s="56">
        <f>$L$3*E41*1000</f>
        <v>90.63</v>
      </c>
      <c r="G41" s="57">
        <f>($J$4*E41/SQRT('Material Properties'!$D$11))/100</f>
        <v>0.0006576944676254643</v>
      </c>
      <c r="H41" s="63">
        <f>F41/(G41*$G$4)</f>
        <v>55119.8189805123</v>
      </c>
      <c r="I41" s="55">
        <f>IF((0.21*'Material Properties'!$C$11+0.363*$F$4+0.0141*SQRT('Material Properties'!$E$10*'Material Properties'!$F$10))&lt;E41,E41,(0.21*'Material Properties'!$C$11+0.363*$F$4+0.0141*SQRT('Material Properties'!$E$10*'Material Properties'!$F$10)))</f>
        <v>0.24167999999999998</v>
      </c>
      <c r="J41" s="56">
        <f>$L$3*I41*1000</f>
        <v>90.63</v>
      </c>
      <c r="K41" s="58">
        <f>0.65*N41</f>
        <v>0.0025650084237393103</v>
      </c>
      <c r="L41" s="63">
        <f>J41/(K41*$G$4)</f>
        <v>14133.286918080079</v>
      </c>
      <c r="M41" s="60">
        <f>0.8*J41</f>
        <v>72.504</v>
      </c>
      <c r="N41" s="58">
        <f>O41*$J$4*I41/SQRT('Material Properties'!$D$11)/100</f>
        <v>0.003946166805752785</v>
      </c>
      <c r="O41" s="61">
        <f>IF(((0.5/(I41^2))+1.3)&gt;6,6,((0.5/(I41^2))+1.3))</f>
        <v>6</v>
      </c>
      <c r="P41" s="63">
        <f>M41/(N41*$G$4)</f>
        <v>7349.309197401642</v>
      </c>
    </row>
    <row r="42" spans="1:16" ht="12">
      <c r="A42" s="45" t="s">
        <v>137</v>
      </c>
      <c r="B42" s="42">
        <f>$B$4*$G$4*$G41*39.37</f>
        <v>0.06473357797603632</v>
      </c>
      <c r="C42" s="64">
        <f>(B42/39.37)*(H41/$E$4)*(1000/9.81)</f>
        <v>0.1710839279646619</v>
      </c>
      <c r="G42" s="100" t="s">
        <v>2</v>
      </c>
      <c r="H42" s="101">
        <f>2*PI()*SQRT($E$4/H41/1000)</f>
        <v>0.19666308926369291</v>
      </c>
      <c r="I42" s="102"/>
      <c r="J42" s="102"/>
      <c r="K42" s="102"/>
      <c r="L42" s="101">
        <f>2*PI()*SQRT($E$4/L41/1000)</f>
        <v>0.3883784824717804</v>
      </c>
      <c r="M42" s="102"/>
      <c r="N42" s="102"/>
      <c r="O42" s="102"/>
      <c r="P42" s="101">
        <f>2*PI()*SQRT($E$4/P41/1000)</f>
        <v>0.5385840510918832</v>
      </c>
    </row>
    <row r="43" spans="1:3" ht="12">
      <c r="A43" s="45" t="s">
        <v>138</v>
      </c>
      <c r="B43" s="42">
        <f>$B$4*$G$4*$K41*39.37</f>
        <v>0.25246095410654157</v>
      </c>
      <c r="C43" s="64">
        <f>(B43/39.37)*(L41/$E$4)*(1000/9.81)</f>
        <v>0.17108392796466185</v>
      </c>
    </row>
    <row r="44" spans="1:3" ht="12.75" thickBot="1">
      <c r="A44" s="46" t="s">
        <v>139</v>
      </c>
      <c r="B44" s="49">
        <f>$B$4*$G$4*$N41*39.37</f>
        <v>0.3884014678562178</v>
      </c>
      <c r="C44" s="62">
        <f>(B44/39.37)*(P41/$E$4)*(1000/9.81)</f>
        <v>0.13686714237172956</v>
      </c>
    </row>
    <row r="47" spans="1:3" ht="12.75" thickBot="1">
      <c r="A47" s="136" t="s">
        <v>42</v>
      </c>
      <c r="B47" s="136"/>
      <c r="C47" s="136"/>
    </row>
    <row r="48" spans="1:16" ht="12">
      <c r="A48" s="133"/>
      <c r="B48" s="48" t="s">
        <v>141</v>
      </c>
      <c r="C48" s="43" t="s">
        <v>143</v>
      </c>
      <c r="E48" s="50" t="s">
        <v>22</v>
      </c>
      <c r="F48" s="48" t="s">
        <v>20</v>
      </c>
      <c r="G48" s="51" t="s">
        <v>21</v>
      </c>
      <c r="H48" s="52" t="s">
        <v>33</v>
      </c>
      <c r="I48" s="50" t="s">
        <v>26</v>
      </c>
      <c r="J48" s="48" t="s">
        <v>25</v>
      </c>
      <c r="K48" s="51" t="s">
        <v>27</v>
      </c>
      <c r="L48" s="52" t="s">
        <v>33</v>
      </c>
      <c r="M48" s="59" t="s">
        <v>28</v>
      </c>
      <c r="N48" s="51" t="s">
        <v>29</v>
      </c>
      <c r="O48" s="51" t="s">
        <v>30</v>
      </c>
      <c r="P48" s="52" t="s">
        <v>33</v>
      </c>
    </row>
    <row r="49" spans="1:16" ht="12">
      <c r="A49" s="134"/>
      <c r="B49" s="15" t="s">
        <v>142</v>
      </c>
      <c r="C49" s="44" t="s">
        <v>144</v>
      </c>
      <c r="E49" s="53" t="s">
        <v>23</v>
      </c>
      <c r="F49" s="15" t="s">
        <v>17</v>
      </c>
      <c r="G49" s="15" t="s">
        <v>24</v>
      </c>
      <c r="H49" s="54" t="s">
        <v>34</v>
      </c>
      <c r="I49" s="53" t="s">
        <v>23</v>
      </c>
      <c r="J49" s="15" t="s">
        <v>17</v>
      </c>
      <c r="K49" s="15" t="s">
        <v>24</v>
      </c>
      <c r="L49" s="54" t="s">
        <v>34</v>
      </c>
      <c r="M49" s="53" t="s">
        <v>17</v>
      </c>
      <c r="N49" s="15" t="s">
        <v>24</v>
      </c>
      <c r="O49" s="1"/>
      <c r="P49" s="54" t="s">
        <v>34</v>
      </c>
    </row>
    <row r="50" spans="1:16" ht="12.75" thickBot="1">
      <c r="A50" s="65" t="s">
        <v>35</v>
      </c>
      <c r="B50" s="37">
        <v>0</v>
      </c>
      <c r="C50" s="24">
        <v>0</v>
      </c>
      <c r="E50" s="55">
        <f>IF((0.424*'Material Properties'!$C$11+0.374*'MX Calc'!$F$5)&gt;'Material Properties'!$C$11,'Material Properties'!$C$11,(0.424*'Material Properties'!$C$11+0.374*'MX Calc'!$F$5))</f>
        <v>0.27908</v>
      </c>
      <c r="F50" s="56">
        <f>$L$3*E50*1000</f>
        <v>104.655</v>
      </c>
      <c r="G50" s="57">
        <f>($J$4*E50/SQRT('Material Properties'!$D$11))/100</f>
        <v>0.0007594727409173889</v>
      </c>
      <c r="H50" s="63">
        <f>F50/(G50*$G$5)</f>
        <v>55119.81898051231</v>
      </c>
      <c r="I50" s="55">
        <f>IF((0.21*'Material Properties'!$C$11+0.363*$F$5+0.0141*SQRT('Material Properties'!$E$10*'Material Properties'!$F$10))&lt;E50,E50,(0.21*'Material Properties'!$C$11+0.363*$F$5+0.0141*SQRT('Material Properties'!$E$10*'Material Properties'!$F$10)))</f>
        <v>0.27908</v>
      </c>
      <c r="J50" s="56">
        <f>$L$3*I50*1000</f>
        <v>104.655</v>
      </c>
      <c r="K50" s="58">
        <f>0.65*N50</f>
        <v>0.002961943689577817</v>
      </c>
      <c r="L50" s="63">
        <f>J50/(K50*$G$6)</f>
        <v>14133.286918080079</v>
      </c>
      <c r="M50" s="60">
        <f>0.8*J50</f>
        <v>83.724</v>
      </c>
      <c r="N50" s="58">
        <f>O50*$J$4*I50/SQRT('Material Properties'!$D$11)/100</f>
        <v>0.004556836445504334</v>
      </c>
      <c r="O50" s="61">
        <f>IF(((0.5/(I50^2))+1.3)&gt;6,6,((0.5/(I50^2))+1.3))</f>
        <v>6</v>
      </c>
      <c r="P50" s="63">
        <f>M50/(N50*$G$5)</f>
        <v>7349.3091974016415</v>
      </c>
    </row>
    <row r="51" spans="1:16" ht="12">
      <c r="A51" s="45" t="s">
        <v>137</v>
      </c>
      <c r="B51" s="42">
        <f>$B$5*$G$5*$G50*39.37</f>
        <v>0.074751104524794</v>
      </c>
      <c r="C51" s="64">
        <f>(B51/39.37)*(H50/$E$5)*(1000/9.81)</f>
        <v>0.10975509998615673</v>
      </c>
      <c r="G51" s="100" t="s">
        <v>2</v>
      </c>
      <c r="H51" s="101">
        <f>2*PI()*SQRT($E$5/H50/1000)</f>
        <v>0.26385122175523584</v>
      </c>
      <c r="I51" s="99"/>
      <c r="J51" s="99"/>
      <c r="K51" s="99"/>
      <c r="L51" s="101">
        <f>2*PI()*SQRT($E$5/L50/1000)</f>
        <v>0.521064412683067</v>
      </c>
      <c r="M51" s="99"/>
      <c r="N51" s="99"/>
      <c r="O51" s="99"/>
      <c r="P51" s="101">
        <f>2*PI()*SQRT($E$5/P50/1000)</f>
        <v>0.7225863299032025</v>
      </c>
    </row>
    <row r="52" spans="1:3" ht="12">
      <c r="A52" s="45" t="s">
        <v>138</v>
      </c>
      <c r="B52" s="42">
        <f>$B$5*$G$5*$K50*39.37</f>
        <v>0.2915293076466966</v>
      </c>
      <c r="C52" s="64">
        <f>(B52/39.37)*(L50/$E$5)*(1000/9.81)</f>
        <v>0.10975509998615673</v>
      </c>
    </row>
    <row r="53" spans="1:3" ht="12.75" thickBot="1">
      <c r="A53" s="46" t="s">
        <v>139</v>
      </c>
      <c r="B53" s="49">
        <f>$B$5*$G$5*$N50*39.37</f>
        <v>0.448506627148764</v>
      </c>
      <c r="C53" s="62">
        <f>(B53/39.37)*(P50/$E$5)*(1000/9.81)</f>
        <v>0.0878040799889254</v>
      </c>
    </row>
    <row r="56" spans="1:3" ht="12.75" thickBot="1">
      <c r="A56" s="136" t="s">
        <v>43</v>
      </c>
      <c r="B56" s="136"/>
      <c r="C56" s="136"/>
    </row>
    <row r="57" spans="1:16" ht="12">
      <c r="A57" s="133"/>
      <c r="B57" s="48" t="s">
        <v>141</v>
      </c>
      <c r="C57" s="43" t="s">
        <v>143</v>
      </c>
      <c r="E57" s="50" t="s">
        <v>22</v>
      </c>
      <c r="F57" s="48" t="s">
        <v>20</v>
      </c>
      <c r="G57" s="51" t="s">
        <v>21</v>
      </c>
      <c r="H57" s="52" t="s">
        <v>33</v>
      </c>
      <c r="I57" s="50" t="s">
        <v>26</v>
      </c>
      <c r="J57" s="48" t="s">
        <v>25</v>
      </c>
      <c r="K57" s="51" t="s">
        <v>27</v>
      </c>
      <c r="L57" s="52" t="s">
        <v>33</v>
      </c>
      <c r="M57" s="59" t="s">
        <v>28</v>
      </c>
      <c r="N57" s="51" t="s">
        <v>29</v>
      </c>
      <c r="O57" s="51" t="s">
        <v>30</v>
      </c>
      <c r="P57" s="52" t="s">
        <v>33</v>
      </c>
    </row>
    <row r="58" spans="1:16" ht="12">
      <c r="A58" s="134"/>
      <c r="B58" s="15" t="s">
        <v>142</v>
      </c>
      <c r="C58" s="44" t="s">
        <v>144</v>
      </c>
      <c r="E58" s="53" t="s">
        <v>23</v>
      </c>
      <c r="F58" s="15" t="s">
        <v>17</v>
      </c>
      <c r="G58" s="15" t="s">
        <v>24</v>
      </c>
      <c r="H58" s="54" t="s">
        <v>34</v>
      </c>
      <c r="I58" s="53" t="s">
        <v>23</v>
      </c>
      <c r="J58" s="15" t="s">
        <v>17</v>
      </c>
      <c r="K58" s="15" t="s">
        <v>24</v>
      </c>
      <c r="L58" s="54" t="s">
        <v>34</v>
      </c>
      <c r="M58" s="53" t="s">
        <v>17</v>
      </c>
      <c r="N58" s="15" t="s">
        <v>24</v>
      </c>
      <c r="O58" s="1"/>
      <c r="P58" s="54" t="s">
        <v>34</v>
      </c>
    </row>
    <row r="59" spans="1:16" ht="12.75" thickBot="1">
      <c r="A59" s="65" t="s">
        <v>35</v>
      </c>
      <c r="B59" s="37">
        <v>0</v>
      </c>
      <c r="C59" s="24">
        <v>0</v>
      </c>
      <c r="E59" s="55">
        <f>IF((0.424*'Material Properties'!$C$11+0.374*'MX Calc'!$F$6)&gt;'Material Properties'!$C$11,'Material Properties'!$C$11,(0.424*'Material Properties'!$C$11+0.374*'MX Calc'!$F$6))</f>
        <v>0.35388</v>
      </c>
      <c r="F59" s="56">
        <f>$L$3*E59*1000</f>
        <v>132.70499999999998</v>
      </c>
      <c r="G59" s="57">
        <f>($J$4*E59/SQRT('Material Properties'!$D$11))/100</f>
        <v>0.0009630292875012382</v>
      </c>
      <c r="H59" s="63">
        <f>F59/(G59*$G$6)</f>
        <v>55119.818980512304</v>
      </c>
      <c r="I59" s="55">
        <f>IF((0.21*'Material Properties'!$C$11+0.363*$F$6+0.0141*SQRT('Material Properties'!$E$10*'Material Properties'!$F$10))&lt;E59,E59,(0.21*'Material Properties'!$C$11+0.363*$F$6+0.0141*SQRT('Material Properties'!$E$10*'Material Properties'!$F$10)))</f>
        <v>0.35388</v>
      </c>
      <c r="J59" s="56">
        <f>$L$3*I59*1000</f>
        <v>132.70499999999998</v>
      </c>
      <c r="K59" s="58">
        <f>0.65*N59</f>
        <v>0.0033130161818754507</v>
      </c>
      <c r="L59" s="63">
        <f>J59/(K59*$G$6)</f>
        <v>16022.257992700488</v>
      </c>
      <c r="M59" s="60">
        <f>0.8*J59</f>
        <v>106.16399999999999</v>
      </c>
      <c r="N59" s="58">
        <f>O59*$J$4*I59/SQRT('Material Properties'!$D$11)/100</f>
        <v>0.005096947972116078</v>
      </c>
      <c r="O59" s="61">
        <f>IF(((0.5/(I59^2))+1.3)&gt;6,6,((0.5/(I59^2))+1.3))</f>
        <v>5.292619900835076</v>
      </c>
      <c r="P59" s="63">
        <f>M59/(N59*$G$6)</f>
        <v>8331.574156204253</v>
      </c>
    </row>
    <row r="60" spans="1:16" ht="12">
      <c r="A60" s="45" t="s">
        <v>137</v>
      </c>
      <c r="B60" s="42">
        <f>$B$6*$G$6*$G59*39.37</f>
        <v>0.09478615762230937</v>
      </c>
      <c r="C60" s="64">
        <f>(B60/39.37)*(H59/$E$6)*(1000/9.81)</f>
        <v>0.07367931882233014</v>
      </c>
      <c r="G60" s="100" t="s">
        <v>2</v>
      </c>
      <c r="H60" s="101">
        <f>2*PI()*SQRT($E$6/H59/1000)</f>
        <v>0.3626288189150353</v>
      </c>
      <c r="I60" s="101"/>
      <c r="J60" s="101"/>
      <c r="K60" s="101"/>
      <c r="L60" s="101">
        <f>2*PI()*SQRT($E$6/L59/1000)</f>
        <v>0.6725961027343801</v>
      </c>
      <c r="M60" s="101"/>
      <c r="N60" s="101"/>
      <c r="O60" s="101"/>
      <c r="P60" s="101">
        <f>2*PI()*SQRT($E$6/P59/1000)</f>
        <v>0.9327229754177127</v>
      </c>
    </row>
    <row r="61" spans="1:3" ht="12">
      <c r="A61" s="45" t="s">
        <v>138</v>
      </c>
      <c r="B61" s="42">
        <f>$B$6*$G$6*$K59*39.37</f>
        <v>0.32608361770109123</v>
      </c>
      <c r="C61" s="64">
        <f>(B61/39.37)*(L59/$E$6)*(1000/9.81)</f>
        <v>0.07367931882233014</v>
      </c>
    </row>
    <row r="62" spans="1:3" ht="12.75" thickBot="1">
      <c r="A62" s="46" t="s">
        <v>139</v>
      </c>
      <c r="B62" s="49">
        <f>$B$6*$G$6*$N59*39.37</f>
        <v>0.501667104155525</v>
      </c>
      <c r="C62" s="62">
        <f>(B62/39.37)*(P59/$E$6)*(1000/9.81)</f>
        <v>0.058943455057864115</v>
      </c>
    </row>
  </sheetData>
  <mergeCells count="13">
    <mergeCell ref="A28:C28"/>
    <mergeCell ref="A19:C19"/>
    <mergeCell ref="A11:A12"/>
    <mergeCell ref="I2:J2"/>
    <mergeCell ref="A20:A21"/>
    <mergeCell ref="A29:A30"/>
    <mergeCell ref="A39:A40"/>
    <mergeCell ref="A48:A49"/>
    <mergeCell ref="A57:A58"/>
    <mergeCell ref="A10:C10"/>
    <mergeCell ref="A56:C56"/>
    <mergeCell ref="A47:C47"/>
    <mergeCell ref="A38:C38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P62"/>
  <sheetViews>
    <sheetView workbookViewId="0" topLeftCell="A1">
      <selection activeCell="T18" sqref="T18"/>
    </sheetView>
  </sheetViews>
  <sheetFormatPr defaultColWidth="8.8515625" defaultRowHeight="12.75"/>
  <cols>
    <col min="1" max="1" width="12.421875" style="0" customWidth="1"/>
    <col min="2" max="6" width="8.8515625" style="0" customWidth="1"/>
    <col min="7" max="7" width="10.00390625" style="0" bestFit="1" customWidth="1"/>
    <col min="8" max="8" width="11.421875" style="0" bestFit="1" customWidth="1"/>
    <col min="9" max="10" width="11.421875" style="0" customWidth="1"/>
  </cols>
  <sheetData>
    <row r="1" ht="12.75" thickBot="1">
      <c r="A1" s="19" t="s">
        <v>145</v>
      </c>
    </row>
    <row r="2" spans="1:12" ht="25.5" customHeight="1" thickBot="1">
      <c r="A2" s="26"/>
      <c r="B2" s="27" t="s">
        <v>44</v>
      </c>
      <c r="C2" s="27" t="s">
        <v>149</v>
      </c>
      <c r="D2" s="27" t="s">
        <v>31</v>
      </c>
      <c r="E2" s="35" t="s">
        <v>153</v>
      </c>
      <c r="F2" s="38" t="s">
        <v>159</v>
      </c>
      <c r="G2" s="28" t="s">
        <v>158</v>
      </c>
      <c r="I2" s="131" t="s">
        <v>154</v>
      </c>
      <c r="J2" s="132"/>
      <c r="L2" s="39" t="s">
        <v>16</v>
      </c>
    </row>
    <row r="3" spans="1:12" ht="12.75" thickBot="1">
      <c r="A3" s="29"/>
      <c r="B3" s="25" t="s">
        <v>151</v>
      </c>
      <c r="C3" s="4" t="s">
        <v>152</v>
      </c>
      <c r="D3" s="4" t="s">
        <v>150</v>
      </c>
      <c r="E3" s="36" t="s">
        <v>150</v>
      </c>
      <c r="F3" s="23" t="s">
        <v>23</v>
      </c>
      <c r="G3" s="17" t="s">
        <v>157</v>
      </c>
      <c r="I3" s="33" t="s">
        <v>155</v>
      </c>
      <c r="J3" s="67">
        <v>1.13</v>
      </c>
      <c r="L3" s="29">
        <f>2.5*0.15</f>
        <v>0.375</v>
      </c>
    </row>
    <row r="4" spans="1:10" ht="12.75" thickBot="1">
      <c r="A4" s="30" t="s">
        <v>146</v>
      </c>
      <c r="B4" s="10">
        <v>1</v>
      </c>
      <c r="C4" s="10">
        <v>1</v>
      </c>
      <c r="D4" s="2">
        <v>54000</v>
      </c>
      <c r="E4" s="37">
        <f>C4*D4</f>
        <v>54000</v>
      </c>
      <c r="F4" s="16">
        <v>0</v>
      </c>
      <c r="G4" s="24">
        <v>2.5</v>
      </c>
      <c r="I4" s="34" t="s">
        <v>156</v>
      </c>
      <c r="J4" s="66">
        <v>0.72</v>
      </c>
    </row>
    <row r="5" spans="1:7" ht="12">
      <c r="A5" s="30" t="s">
        <v>147</v>
      </c>
      <c r="B5" s="10">
        <v>1</v>
      </c>
      <c r="C5" s="9">
        <v>0.9</v>
      </c>
      <c r="D5" s="2">
        <f>2*D4</f>
        <v>108000</v>
      </c>
      <c r="E5" s="37">
        <f>C5*D5</f>
        <v>97200</v>
      </c>
      <c r="F5" s="16">
        <v>0.1</v>
      </c>
      <c r="G5" s="24">
        <v>2.5</v>
      </c>
    </row>
    <row r="6" spans="1:7" ht="12.75" thickBot="1">
      <c r="A6" s="29" t="s">
        <v>148</v>
      </c>
      <c r="B6" s="31">
        <v>1</v>
      </c>
      <c r="C6" s="32">
        <v>0.85</v>
      </c>
      <c r="D6" s="4">
        <f>D4*4</f>
        <v>216000</v>
      </c>
      <c r="E6" s="36">
        <f>C6*D6</f>
        <v>183600</v>
      </c>
      <c r="F6" s="23">
        <f>F5*3</f>
        <v>0.30000000000000004</v>
      </c>
      <c r="G6" s="17">
        <v>2.5</v>
      </c>
    </row>
    <row r="7" ht="12">
      <c r="A7" s="47" t="s">
        <v>32</v>
      </c>
    </row>
    <row r="10" spans="1:3" ht="12.75" thickBot="1">
      <c r="A10" s="135" t="s">
        <v>38</v>
      </c>
      <c r="B10" s="135"/>
      <c r="C10" s="135"/>
    </row>
    <row r="11" spans="1:16" ht="12">
      <c r="A11" s="133"/>
      <c r="B11" s="48" t="s">
        <v>141</v>
      </c>
      <c r="C11" s="43" t="s">
        <v>143</v>
      </c>
      <c r="E11" s="50" t="s">
        <v>22</v>
      </c>
      <c r="F11" s="48" t="s">
        <v>20</v>
      </c>
      <c r="G11" s="51" t="s">
        <v>21</v>
      </c>
      <c r="H11" s="52" t="s">
        <v>33</v>
      </c>
      <c r="I11" s="50" t="s">
        <v>26</v>
      </c>
      <c r="J11" s="48" t="s">
        <v>25</v>
      </c>
      <c r="K11" s="51" t="s">
        <v>27</v>
      </c>
      <c r="L11" s="52" t="s">
        <v>33</v>
      </c>
      <c r="M11" s="59" t="s">
        <v>28</v>
      </c>
      <c r="N11" s="51" t="s">
        <v>29</v>
      </c>
      <c r="O11" s="51" t="s">
        <v>30</v>
      </c>
      <c r="P11" s="52" t="s">
        <v>33</v>
      </c>
    </row>
    <row r="12" spans="1:16" ht="12">
      <c r="A12" s="134"/>
      <c r="B12" s="15" t="s">
        <v>142</v>
      </c>
      <c r="C12" s="44" t="s">
        <v>144</v>
      </c>
      <c r="E12" s="53" t="s">
        <v>23</v>
      </c>
      <c r="F12" s="15" t="s">
        <v>17</v>
      </c>
      <c r="G12" s="15" t="s">
        <v>24</v>
      </c>
      <c r="H12" s="54" t="s">
        <v>34</v>
      </c>
      <c r="I12" s="53" t="s">
        <v>23</v>
      </c>
      <c r="J12" s="15" t="s">
        <v>17</v>
      </c>
      <c r="K12" s="15" t="s">
        <v>24</v>
      </c>
      <c r="L12" s="54" t="s">
        <v>34</v>
      </c>
      <c r="M12" s="53" t="s">
        <v>17</v>
      </c>
      <c r="N12" s="15" t="s">
        <v>24</v>
      </c>
      <c r="O12" s="1"/>
      <c r="P12" s="54" t="s">
        <v>34</v>
      </c>
    </row>
    <row r="13" spans="1:16" ht="12.75" thickBot="1">
      <c r="A13" s="65" t="s">
        <v>35</v>
      </c>
      <c r="B13" s="37">
        <v>0</v>
      </c>
      <c r="C13" s="24">
        <v>0</v>
      </c>
      <c r="E13" s="55">
        <f>IF((0.424*'Material Properties'!$C$12+0.374*'Peru Calc'!$F$4)&gt;'Material Properties'!$C$12,'Material Properties'!$C$12,(0.424*'Material Properties'!$C$12+0.374*'Peru Calc'!$F$4))</f>
        <v>0.3392</v>
      </c>
      <c r="F13" s="56">
        <f>$L$3*E13*1000</f>
        <v>127.2</v>
      </c>
      <c r="G13" s="57">
        <f>($J$3*E13/SQRT('Material Properties'!$D$12))/100</f>
        <v>0.0015647993674163686</v>
      </c>
      <c r="H13" s="103">
        <f>F13/(G13*$G$4)</f>
        <v>32515.35056791829</v>
      </c>
      <c r="I13" s="55">
        <f>IF((0.21*'Material Properties'!$C$12+0.363*$F$4+0.0141*SQRT('Material Properties'!$E$12*'Material Properties'!$F$12))&lt;E13,E13,(0.21*'Material Properties'!$C$12+0.363*$F$4+0.0141*SQRT('Material Properties'!$E$12*'Material Properties'!$F$12)))</f>
        <v>0.3392</v>
      </c>
      <c r="J13" s="56">
        <f>$L$3*I13*1000</f>
        <v>127.2</v>
      </c>
      <c r="K13" s="58">
        <f>0.65*N13</f>
        <v>0.005742337560775018</v>
      </c>
      <c r="L13" s="63">
        <f>J13/(K13*$G$4)</f>
        <v>8860.50314205718</v>
      </c>
      <c r="M13" s="60">
        <f>0.8*J13</f>
        <v>101.76</v>
      </c>
      <c r="N13" s="58">
        <f>O13*$J$3*I13/SQRT('Material Properties'!$D$12)/100</f>
        <v>0.008834365478115412</v>
      </c>
      <c r="O13" s="61">
        <f>IF(((0.5/(I13^2))+1.3)&gt;6,6,((0.5/(I13^2))+1.3))</f>
        <v>5.64568574225703</v>
      </c>
      <c r="P13" s="63">
        <f>M13/(N13*$G$4)</f>
        <v>4607.461633869733</v>
      </c>
    </row>
    <row r="14" spans="1:16" ht="12">
      <c r="A14" s="45" t="s">
        <v>137</v>
      </c>
      <c r="B14" s="42">
        <f>$B$4*$G$4*$G13*39.37</f>
        <v>0.15401537773795607</v>
      </c>
      <c r="C14" s="64">
        <f>(B14/39.37)*(H13/$E$4)*(1000/9.81)</f>
        <v>0.2401177936346132</v>
      </c>
      <c r="G14" s="100" t="s">
        <v>2</v>
      </c>
      <c r="H14" s="101">
        <f>2*PI()*SQRT($E$4/H13/1000)</f>
        <v>0.25605456791590153</v>
      </c>
      <c r="I14" s="102"/>
      <c r="J14" s="102"/>
      <c r="K14" s="102"/>
      <c r="L14" s="101">
        <f>2*PI()*SQRT($E$4/L13/1000)</f>
        <v>0.4905096505124978</v>
      </c>
      <c r="M14" s="102"/>
      <c r="N14" s="102"/>
      <c r="O14" s="102"/>
      <c r="P14" s="101">
        <f>2*PI()*SQRT($E$4/P13/1000)</f>
        <v>0.6802144984741276</v>
      </c>
    </row>
    <row r="15" spans="1:3" ht="12">
      <c r="A15" s="45" t="s">
        <v>138</v>
      </c>
      <c r="B15" s="42">
        <f>$B$4*$G$4*$K13*39.37</f>
        <v>0.5651895744192811</v>
      </c>
      <c r="C15" s="64">
        <f>(B15/39.37)*(L13/$E$4)*(1000/9.81)</f>
        <v>0.2401177936346132</v>
      </c>
    </row>
    <row r="16" spans="1:3" ht="12.75" thickBot="1">
      <c r="A16" s="46" t="s">
        <v>139</v>
      </c>
      <c r="B16" s="49">
        <f>$B$4*$G$4*$N13*39.37</f>
        <v>0.8695224221835094</v>
      </c>
      <c r="C16" s="62">
        <f>(B16/39.37)*(P13/$E$4)*(1000/9.81)</f>
        <v>0.1920942349076906</v>
      </c>
    </row>
    <row r="19" spans="1:3" ht="12.75" thickBot="1">
      <c r="A19" s="135" t="s">
        <v>39</v>
      </c>
      <c r="B19" s="135"/>
      <c r="C19" s="135"/>
    </row>
    <row r="20" spans="1:16" ht="12">
      <c r="A20" s="133"/>
      <c r="B20" s="48" t="s">
        <v>141</v>
      </c>
      <c r="C20" s="43" t="s">
        <v>143</v>
      </c>
      <c r="E20" s="50" t="s">
        <v>22</v>
      </c>
      <c r="F20" s="48" t="s">
        <v>20</v>
      </c>
      <c r="G20" s="51" t="s">
        <v>21</v>
      </c>
      <c r="H20" s="52" t="s">
        <v>33</v>
      </c>
      <c r="I20" s="50" t="s">
        <v>26</v>
      </c>
      <c r="J20" s="48" t="s">
        <v>25</v>
      </c>
      <c r="K20" s="51" t="s">
        <v>27</v>
      </c>
      <c r="L20" s="52" t="s">
        <v>33</v>
      </c>
      <c r="M20" s="59" t="s">
        <v>28</v>
      </c>
      <c r="N20" s="51" t="s">
        <v>29</v>
      </c>
      <c r="O20" s="51" t="s">
        <v>30</v>
      </c>
      <c r="P20" s="52" t="s">
        <v>33</v>
      </c>
    </row>
    <row r="21" spans="1:16" ht="12">
      <c r="A21" s="134"/>
      <c r="B21" s="15" t="s">
        <v>142</v>
      </c>
      <c r="C21" s="44" t="s">
        <v>144</v>
      </c>
      <c r="E21" s="53" t="s">
        <v>23</v>
      </c>
      <c r="F21" s="15" t="s">
        <v>17</v>
      </c>
      <c r="G21" s="15" t="s">
        <v>24</v>
      </c>
      <c r="H21" s="54" t="s">
        <v>34</v>
      </c>
      <c r="I21" s="53" t="s">
        <v>23</v>
      </c>
      <c r="J21" s="15" t="s">
        <v>17</v>
      </c>
      <c r="K21" s="15" t="s">
        <v>24</v>
      </c>
      <c r="L21" s="54" t="s">
        <v>34</v>
      </c>
      <c r="M21" s="53" t="s">
        <v>17</v>
      </c>
      <c r="N21" s="15" t="s">
        <v>24</v>
      </c>
      <c r="O21" s="1"/>
      <c r="P21" s="54" t="s">
        <v>34</v>
      </c>
    </row>
    <row r="22" spans="1:16" ht="12.75" thickBot="1">
      <c r="A22" s="65" t="s">
        <v>35</v>
      </c>
      <c r="B22" s="37">
        <v>0</v>
      </c>
      <c r="C22" s="24">
        <v>0</v>
      </c>
      <c r="E22" s="55">
        <f>IF((0.424*'Material Properties'!$C$12+0.374*'Peru Calc'!$F$5)&gt;'Material Properties'!$C$12,'Material Properties'!$C$12,(0.424*'Material Properties'!$C$12+0.374*'Peru Calc'!$F$5))</f>
        <v>0.3766</v>
      </c>
      <c r="F22" s="56">
        <f>$L$3*E22*1000</f>
        <v>141.225</v>
      </c>
      <c r="G22" s="57">
        <f>($J$3*E22/SQRT('Material Properties'!$D$12))/100</f>
        <v>0.0017373332599322062</v>
      </c>
      <c r="H22" s="103">
        <f>F22/(G22*$G$5)</f>
        <v>32515.35056791829</v>
      </c>
      <c r="I22" s="55">
        <f>IF((0.21*'Material Properties'!$C$12+0.363*$F$5+0.0141*SQRT('Material Properties'!$E$12*'Material Properties'!$F$12))&lt;E22,E22,(0.21*'Material Properties'!$C$12+0.363*$F$5+0.0141*SQRT('Material Properties'!$E$12*'Material Properties'!$F$12)))</f>
        <v>0.3766</v>
      </c>
      <c r="J22" s="56">
        <f>$L$3*I22*1000</f>
        <v>141.225</v>
      </c>
      <c r="K22" s="58">
        <f>0.65*N22</f>
        <v>0.005449172060639892</v>
      </c>
      <c r="L22" s="63">
        <f>J22/(K22*$G$6)</f>
        <v>10366.712478769927</v>
      </c>
      <c r="M22" s="60">
        <f>0.8*J22</f>
        <v>112.98</v>
      </c>
      <c r="N22" s="58">
        <f>O22*$J$3*I22/SQRT('Material Properties'!$D$12)/100</f>
        <v>0.00838334163175368</v>
      </c>
      <c r="O22" s="61">
        <f>IF(((0.5/(I22^2))+1.3)&gt;6,6,((0.5/(I22^2))+1.3))</f>
        <v>4.825407896744469</v>
      </c>
      <c r="P22" s="63">
        <f>M22/(N22*$G$5)</f>
        <v>5390.690488960362</v>
      </c>
    </row>
    <row r="23" spans="1:16" ht="12">
      <c r="A23" s="45" t="s">
        <v>137</v>
      </c>
      <c r="B23" s="42">
        <f>$B$5*$G$5*$G22*39.37</f>
        <v>0.1709970261088274</v>
      </c>
      <c r="C23" s="64">
        <f>(B23/39.37)*(H22/$E$5)*(1000/9.81)</f>
        <v>0.1481072475805741</v>
      </c>
      <c r="G23" s="100" t="s">
        <v>2</v>
      </c>
      <c r="H23" s="101">
        <f>2*PI()*SQRT($E$5/H22/1000)</f>
        <v>0.3435332518855755</v>
      </c>
      <c r="I23" s="101"/>
      <c r="J23" s="101"/>
      <c r="K23" s="101"/>
      <c r="L23" s="101">
        <f>2*PI()*SQRT($E$5/L22/1000)</f>
        <v>0.608404579083763</v>
      </c>
      <c r="M23" s="101"/>
      <c r="N23" s="101"/>
      <c r="O23" s="101"/>
      <c r="P23" s="101">
        <f>2*PI()*SQRT($E$5/P22/1000)</f>
        <v>0.843705348505228</v>
      </c>
    </row>
    <row r="24" spans="1:3" ht="12">
      <c r="A24" s="45" t="s">
        <v>138</v>
      </c>
      <c r="B24" s="42">
        <f>$B$5*$G$5*$K22*39.37</f>
        <v>0.5363347600684814</v>
      </c>
      <c r="C24" s="64">
        <f>(B24/39.37)*(L22/$E$5)*(1000/9.81)</f>
        <v>0.14810724758057414</v>
      </c>
    </row>
    <row r="25" spans="1:3" ht="12.75" thickBot="1">
      <c r="A25" s="46" t="s">
        <v>139</v>
      </c>
      <c r="B25" s="49">
        <f>$B$5*$G$5*$N22*39.37</f>
        <v>0.8251304001053559</v>
      </c>
      <c r="C25" s="62">
        <f>(B25/39.37)*(P22/$E$5)*(1000/9.81)</f>
        <v>0.11848579806445929</v>
      </c>
    </row>
    <row r="28" spans="1:3" ht="12.75" thickBot="1">
      <c r="A28" s="135" t="s">
        <v>40</v>
      </c>
      <c r="B28" s="135"/>
      <c r="C28" s="135"/>
    </row>
    <row r="29" spans="1:16" ht="12">
      <c r="A29" s="133"/>
      <c r="B29" s="48" t="s">
        <v>141</v>
      </c>
      <c r="C29" s="43" t="s">
        <v>143</v>
      </c>
      <c r="E29" s="50" t="s">
        <v>22</v>
      </c>
      <c r="F29" s="48" t="s">
        <v>20</v>
      </c>
      <c r="G29" s="51" t="s">
        <v>21</v>
      </c>
      <c r="H29" s="52" t="s">
        <v>33</v>
      </c>
      <c r="I29" s="50" t="s">
        <v>26</v>
      </c>
      <c r="J29" s="48" t="s">
        <v>25</v>
      </c>
      <c r="K29" s="51" t="s">
        <v>27</v>
      </c>
      <c r="L29" s="52" t="s">
        <v>33</v>
      </c>
      <c r="M29" s="59" t="s">
        <v>28</v>
      </c>
      <c r="N29" s="51" t="s">
        <v>29</v>
      </c>
      <c r="O29" s="51" t="s">
        <v>30</v>
      </c>
      <c r="P29" s="52" t="s">
        <v>33</v>
      </c>
    </row>
    <row r="30" spans="1:16" ht="12">
      <c r="A30" s="134"/>
      <c r="B30" s="15" t="s">
        <v>142</v>
      </c>
      <c r="C30" s="44" t="s">
        <v>144</v>
      </c>
      <c r="E30" s="53" t="s">
        <v>23</v>
      </c>
      <c r="F30" s="15" t="s">
        <v>17</v>
      </c>
      <c r="G30" s="15" t="s">
        <v>24</v>
      </c>
      <c r="H30" s="54" t="s">
        <v>34</v>
      </c>
      <c r="I30" s="53" t="s">
        <v>23</v>
      </c>
      <c r="J30" s="15" t="s">
        <v>17</v>
      </c>
      <c r="K30" s="15" t="s">
        <v>24</v>
      </c>
      <c r="L30" s="54" t="s">
        <v>34</v>
      </c>
      <c r="M30" s="53" t="s">
        <v>17</v>
      </c>
      <c r="N30" s="15" t="s">
        <v>24</v>
      </c>
      <c r="O30" s="1"/>
      <c r="P30" s="54" t="s">
        <v>34</v>
      </c>
    </row>
    <row r="31" spans="1:16" ht="12.75" thickBot="1">
      <c r="A31" s="65" t="s">
        <v>35</v>
      </c>
      <c r="B31" s="37">
        <v>0</v>
      </c>
      <c r="C31" s="24">
        <v>0</v>
      </c>
      <c r="E31" s="55">
        <f>IF((0.424*'Material Properties'!$C$12+0.374*'Peru Calc'!$F$6)&gt;'Material Properties'!$C$12,'Material Properties'!$C$12,(0.424*'Material Properties'!$C$12+0.374*'Peru Calc'!$F$6))</f>
        <v>0.4514</v>
      </c>
      <c r="F31" s="56">
        <f>$L$3*E31*1000</f>
        <v>169.275</v>
      </c>
      <c r="G31" s="57">
        <f>($J$3*E31/SQRT('Material Properties'!$D$12))/100</f>
        <v>0.002082401044963882</v>
      </c>
      <c r="H31" s="103">
        <f>F31/(G31*$G$6)</f>
        <v>32515.350567918296</v>
      </c>
      <c r="I31" s="55">
        <f>IF((0.21*'Material Properties'!$C$12+0.363*$F$6+0.0141*SQRT('Material Properties'!$E$12*'Material Properties'!$F$12))&lt;E31,E31,(0.21*'Material Properties'!$C$12+0.363*$F$6+0.0141*SQRT('Material Properties'!$E$12*'Material Properties'!$F$12)))</f>
        <v>0.4514</v>
      </c>
      <c r="J31" s="56">
        <f>$L$3*I31*1000</f>
        <v>169.275</v>
      </c>
      <c r="K31" s="58">
        <f>0.65*N31</f>
        <v>0.005081055216021811</v>
      </c>
      <c r="L31" s="63">
        <f>J31/(K31*$G$6)</f>
        <v>13325.972090697576</v>
      </c>
      <c r="M31" s="60">
        <f>0.8*J31</f>
        <v>135.42000000000002</v>
      </c>
      <c r="N31" s="58">
        <f>O31*$J$3*I31/SQRT('Material Properties'!$D$12)/100</f>
        <v>0.00781700802464894</v>
      </c>
      <c r="O31" s="61">
        <f>IF(((0.5/(I31^2))+1.3)&gt;6,6,((0.5/(I31^2))+1.3))</f>
        <v>3.7538436909421167</v>
      </c>
      <c r="P31" s="63">
        <f>M31/(N31*$G$6)</f>
        <v>6929.505487162742</v>
      </c>
    </row>
    <row r="32" spans="1:16" ht="12">
      <c r="A32" s="45" t="s">
        <v>137</v>
      </c>
      <c r="B32" s="42">
        <f>$B$6*$G$6*$G31*39.37</f>
        <v>0.20496032285057003</v>
      </c>
      <c r="C32" s="64">
        <f>(B32/39.37)*(H31/$E$6)*(1000/9.81)</f>
        <v>0.09398339696055112</v>
      </c>
      <c r="G32" s="100" t="s">
        <v>2</v>
      </c>
      <c r="H32" s="101">
        <f>2*PI()*SQRT($E$6/H31/1000)</f>
        <v>0.47214129447871495</v>
      </c>
      <c r="I32" s="101"/>
      <c r="J32" s="101"/>
      <c r="K32" s="101"/>
      <c r="L32" s="101">
        <f>2*PI()*SQRT($E$6/L31/1000)</f>
        <v>0.7375080364967282</v>
      </c>
      <c r="M32" s="101"/>
      <c r="N32" s="101"/>
      <c r="O32" s="101"/>
      <c r="P32" s="101">
        <f>2*PI()*SQRT($E$6/P31/1000)</f>
        <v>1.0227396314060464</v>
      </c>
    </row>
    <row r="33" spans="1:3" ht="12">
      <c r="A33" s="45" t="s">
        <v>138</v>
      </c>
      <c r="B33" s="42">
        <f>$B$6*$G$6*$K31*39.37</f>
        <v>0.5001028596369468</v>
      </c>
      <c r="C33" s="64">
        <f>(B33/39.37)*(L31/$E$6)*(1000/9.81)</f>
        <v>0.09398339696055112</v>
      </c>
    </row>
    <row r="34" spans="1:3" ht="12.75" thickBot="1">
      <c r="A34" s="46" t="s">
        <v>139</v>
      </c>
      <c r="B34" s="49">
        <f>$B$6*$G$6*$N31*39.37</f>
        <v>0.7693890148260717</v>
      </c>
      <c r="C34" s="62">
        <f>(B34/39.37)*(P31/$E$6)*(1000/9.81)</f>
        <v>0.0751867175684409</v>
      </c>
    </row>
    <row r="38" spans="1:3" ht="12.75" thickBot="1">
      <c r="A38" s="136" t="s">
        <v>45</v>
      </c>
      <c r="B38" s="136"/>
      <c r="C38" s="136"/>
    </row>
    <row r="39" spans="1:16" ht="12">
      <c r="A39" s="133"/>
      <c r="B39" s="48" t="s">
        <v>141</v>
      </c>
      <c r="C39" s="43" t="s">
        <v>143</v>
      </c>
      <c r="E39" s="50" t="s">
        <v>22</v>
      </c>
      <c r="F39" s="48" t="s">
        <v>20</v>
      </c>
      <c r="G39" s="51" t="s">
        <v>21</v>
      </c>
      <c r="H39" s="52" t="s">
        <v>33</v>
      </c>
      <c r="I39" s="50" t="s">
        <v>26</v>
      </c>
      <c r="J39" s="48" t="s">
        <v>25</v>
      </c>
      <c r="K39" s="51" t="s">
        <v>27</v>
      </c>
      <c r="L39" s="52" t="s">
        <v>33</v>
      </c>
      <c r="M39" s="59" t="s">
        <v>28</v>
      </c>
      <c r="N39" s="51" t="s">
        <v>29</v>
      </c>
      <c r="O39" s="51" t="s">
        <v>30</v>
      </c>
      <c r="P39" s="52" t="s">
        <v>33</v>
      </c>
    </row>
    <row r="40" spans="1:16" ht="12">
      <c r="A40" s="134"/>
      <c r="B40" s="15" t="s">
        <v>142</v>
      </c>
      <c r="C40" s="44" t="s">
        <v>144</v>
      </c>
      <c r="E40" s="53" t="s">
        <v>23</v>
      </c>
      <c r="F40" s="15" t="s">
        <v>17</v>
      </c>
      <c r="G40" s="15" t="s">
        <v>24</v>
      </c>
      <c r="H40" s="54" t="s">
        <v>34</v>
      </c>
      <c r="I40" s="53" t="s">
        <v>23</v>
      </c>
      <c r="J40" s="15" t="s">
        <v>17</v>
      </c>
      <c r="K40" s="15" t="s">
        <v>24</v>
      </c>
      <c r="L40" s="54" t="s">
        <v>34</v>
      </c>
      <c r="M40" s="53" t="s">
        <v>17</v>
      </c>
      <c r="N40" s="15" t="s">
        <v>24</v>
      </c>
      <c r="O40" s="1"/>
      <c r="P40" s="54" t="s">
        <v>34</v>
      </c>
    </row>
    <row r="41" spans="1:16" ht="12.75" thickBot="1">
      <c r="A41" s="65" t="s">
        <v>35</v>
      </c>
      <c r="B41" s="37">
        <v>0</v>
      </c>
      <c r="C41" s="24">
        <v>0</v>
      </c>
      <c r="E41" s="55">
        <f>IF((0.424*'Material Properties'!$C$13+0.374*'Peru Calc'!$F$4)&gt;'Material Properties'!$C$13,'Material Properties'!$C$13,(0.424*'Material Properties'!$C$13+0.374*'Peru Calc'!$F$4))</f>
        <v>0.318</v>
      </c>
      <c r="F41" s="56">
        <f>$L$3*E41*1000</f>
        <v>119.25</v>
      </c>
      <c r="G41" s="57">
        <f>($J$4*E41/SQRT('Material Properties'!$D$13))/100</f>
        <v>0.000724035093072152</v>
      </c>
      <c r="H41" s="63">
        <f>F41/(G41*$G$4)</f>
        <v>65880.78458684124</v>
      </c>
      <c r="I41" s="55">
        <f>IF((0.21*'Material Properties'!$C$13+0.363*$F$4+0.0141*SQRT('Material Properties'!$E$12*'Material Properties'!$F$12))&lt;E41,E41,(0.21*'Material Properties'!$C$13+0.363*$F$4+0.0141*SQRT('Material Properties'!$E$12*'Material Properties'!$F$12)))</f>
        <v>0.318</v>
      </c>
      <c r="J41" s="56">
        <f>$L$3*I41*1000</f>
        <v>119.25</v>
      </c>
      <c r="K41" s="58">
        <f>0.65*N41</f>
        <v>0.0028237368629813937</v>
      </c>
      <c r="L41" s="63">
        <f>J41/(K41*$G$4)</f>
        <v>16892.508868420828</v>
      </c>
      <c r="M41" s="60">
        <f>0.8*J41</f>
        <v>95.4</v>
      </c>
      <c r="N41" s="58">
        <f>O41*$J$4*I41/SQRT('Material Properties'!$D$13)/100</f>
        <v>0.004344210558432913</v>
      </c>
      <c r="O41" s="61">
        <f>IF(((0.5/(I41^2))+1.3)&gt;6,6,((0.5/(I41^2))+1.3))</f>
        <v>6</v>
      </c>
      <c r="P41" s="63">
        <f>M41/(N41*$G$4)</f>
        <v>8784.104611578832</v>
      </c>
    </row>
    <row r="42" spans="1:16" ht="12">
      <c r="A42" s="45" t="s">
        <v>137</v>
      </c>
      <c r="B42" s="42">
        <f>$B$4*$G$4*$G41*39.37</f>
        <v>0.07126315403562655</v>
      </c>
      <c r="C42" s="64">
        <f>(B42/39.37)*(H41/$E$4)*(1000/9.81)</f>
        <v>0.22511043153244983</v>
      </c>
      <c r="G42" s="100" t="s">
        <v>2</v>
      </c>
      <c r="H42" s="101">
        <f>2*PI()*SQRT($E$4/H41/1000)</f>
        <v>0.17988600089588883</v>
      </c>
      <c r="I42" s="102"/>
      <c r="J42" s="102"/>
      <c r="K42" s="102"/>
      <c r="L42" s="101">
        <f>2*PI()*SQRT($E$4/L41/1000)</f>
        <v>0.355246387654303</v>
      </c>
      <c r="M42" s="102"/>
      <c r="N42" s="102"/>
      <c r="O42" s="102"/>
      <c r="P42" s="101">
        <f>2*PI()*SQRT($E$4/P41/1000)</f>
        <v>0.49263810235036415</v>
      </c>
    </row>
    <row r="43" spans="1:3" ht="12">
      <c r="A43" s="45" t="s">
        <v>138</v>
      </c>
      <c r="B43" s="42">
        <f>$B$4*$G$4*$K41*39.37</f>
        <v>0.27792630073894364</v>
      </c>
      <c r="C43" s="64">
        <f>(B43/39.37)*(L41/$E$4)*(1000/9.81)</f>
        <v>0.2251104315324499</v>
      </c>
    </row>
    <row r="44" spans="1:3" ht="12.75" thickBot="1">
      <c r="A44" s="46" t="s">
        <v>139</v>
      </c>
      <c r="B44" s="49">
        <f>$B$4*$G$4*$N41*39.37</f>
        <v>0.4275789242137594</v>
      </c>
      <c r="C44" s="62">
        <f>(B44/39.37)*(P41/$E$4)*(1000/9.81)</f>
        <v>0.1800883452259599</v>
      </c>
    </row>
    <row r="47" spans="1:3" ht="12.75" thickBot="1">
      <c r="A47" s="136" t="s">
        <v>46</v>
      </c>
      <c r="B47" s="136"/>
      <c r="C47" s="136"/>
    </row>
    <row r="48" spans="1:16" ht="12">
      <c r="A48" s="133"/>
      <c r="B48" s="48" t="s">
        <v>141</v>
      </c>
      <c r="C48" s="43" t="s">
        <v>143</v>
      </c>
      <c r="E48" s="50" t="s">
        <v>22</v>
      </c>
      <c r="F48" s="48" t="s">
        <v>20</v>
      </c>
      <c r="G48" s="51" t="s">
        <v>21</v>
      </c>
      <c r="H48" s="52" t="s">
        <v>33</v>
      </c>
      <c r="I48" s="50" t="s">
        <v>26</v>
      </c>
      <c r="J48" s="48" t="s">
        <v>25</v>
      </c>
      <c r="K48" s="51" t="s">
        <v>27</v>
      </c>
      <c r="L48" s="52" t="s">
        <v>33</v>
      </c>
      <c r="M48" s="59" t="s">
        <v>28</v>
      </c>
      <c r="N48" s="51" t="s">
        <v>29</v>
      </c>
      <c r="O48" s="51" t="s">
        <v>30</v>
      </c>
      <c r="P48" s="52" t="s">
        <v>33</v>
      </c>
    </row>
    <row r="49" spans="1:16" ht="12">
      <c r="A49" s="134"/>
      <c r="B49" s="15" t="s">
        <v>142</v>
      </c>
      <c r="C49" s="44" t="s">
        <v>144</v>
      </c>
      <c r="E49" s="53" t="s">
        <v>23</v>
      </c>
      <c r="F49" s="15" t="s">
        <v>17</v>
      </c>
      <c r="G49" s="15" t="s">
        <v>24</v>
      </c>
      <c r="H49" s="54" t="s">
        <v>34</v>
      </c>
      <c r="I49" s="53" t="s">
        <v>23</v>
      </c>
      <c r="J49" s="15" t="s">
        <v>17</v>
      </c>
      <c r="K49" s="15" t="s">
        <v>24</v>
      </c>
      <c r="L49" s="54" t="s">
        <v>34</v>
      </c>
      <c r="M49" s="53" t="s">
        <v>17</v>
      </c>
      <c r="N49" s="15" t="s">
        <v>24</v>
      </c>
      <c r="O49" s="1"/>
      <c r="P49" s="54" t="s">
        <v>34</v>
      </c>
    </row>
    <row r="50" spans="1:16" ht="12.75" thickBot="1">
      <c r="A50" s="65" t="s">
        <v>35</v>
      </c>
      <c r="B50" s="37">
        <v>0</v>
      </c>
      <c r="C50" s="24">
        <v>0</v>
      </c>
      <c r="E50" s="55">
        <f>IF((0.424*'Material Properties'!$C$13+0.374*'Peru Calc'!$F$5)&gt;'Material Properties'!$C$13,'Material Properties'!$C$13,(0.424*'Material Properties'!$C$13+0.374*'Peru Calc'!$F$5))</f>
        <v>0.3554</v>
      </c>
      <c r="F50" s="56">
        <f>$L$3*E50*1000</f>
        <v>133.275</v>
      </c>
      <c r="G50" s="57">
        <f>($J$4*E50/SQRT('Material Properties'!$D$13))/100</f>
        <v>0.0008091889059051662</v>
      </c>
      <c r="H50" s="63">
        <f>F50/(G50*$G$5)</f>
        <v>65880.78458684126</v>
      </c>
      <c r="I50" s="55">
        <f>IF((0.21*'Material Properties'!$C$13+0.363*$F$5+0.0141*SQRT('Material Properties'!$E$12*'Material Properties'!$F$12))&lt;E50,E50,(0.21*'Material Properties'!$C$13+0.363*$F$5+0.0141*SQRT('Material Properties'!$E$12*'Material Properties'!$F$12)))</f>
        <v>0.3554</v>
      </c>
      <c r="J50" s="56">
        <f>$L$3*I50*1000</f>
        <v>133.275</v>
      </c>
      <c r="K50" s="58">
        <f>0.65*N50</f>
        <v>0.002765849522730723</v>
      </c>
      <c r="L50" s="63">
        <f>J50/(K50*$G$6)</f>
        <v>19274.36744547369</v>
      </c>
      <c r="M50" s="60">
        <f>0.8*J50</f>
        <v>106.62</v>
      </c>
      <c r="N50" s="58">
        <f>O50*$J$4*I50/SQRT('Material Properties'!$D$13)/100</f>
        <v>0.00425515311189342</v>
      </c>
      <c r="O50" s="61">
        <f>IF(((0.5/(I50^2))+1.3)&gt;6,6,((0.5/(I50^2))+1.3))</f>
        <v>5.258541090764914</v>
      </c>
      <c r="P50" s="63">
        <f>M50/(N50*$G$5)</f>
        <v>10022.67107164632</v>
      </c>
    </row>
    <row r="51" spans="1:16" ht="12">
      <c r="A51" s="45" t="s">
        <v>137</v>
      </c>
      <c r="B51" s="42">
        <f>$B$5*$G$5*$G50*39.37</f>
        <v>0.07964441806371597</v>
      </c>
      <c r="C51" s="64">
        <f>(B51/39.37)*(H50/$E$5)*(1000/9.81)</f>
        <v>0.1397698241904834</v>
      </c>
      <c r="G51" s="100" t="s">
        <v>2</v>
      </c>
      <c r="H51" s="101">
        <f>2*PI()*SQRT($E$5/H50/1000)</f>
        <v>0.24134239572227728</v>
      </c>
      <c r="I51" s="99"/>
      <c r="J51" s="99"/>
      <c r="K51" s="99"/>
      <c r="L51" s="101">
        <f>2*PI()*SQRT($E$5/L50/1000)</f>
        <v>0.44619318606822606</v>
      </c>
      <c r="M51" s="99"/>
      <c r="N51" s="99"/>
      <c r="O51" s="99"/>
      <c r="P51" s="101">
        <f>2*PI()*SQRT($E$5/P50/1000)</f>
        <v>0.6187586196660129</v>
      </c>
    </row>
    <row r="52" spans="1:3" ht="12">
      <c r="A52" s="45" t="s">
        <v>138</v>
      </c>
      <c r="B52" s="42">
        <f>$B$5*$G$5*$K50*39.37</f>
        <v>0.2722287392747714</v>
      </c>
      <c r="C52" s="64">
        <f>(B52/39.37)*(L50/$E$5)*(1000/9.81)</f>
        <v>0.13976982419048337</v>
      </c>
    </row>
    <row r="53" spans="1:3" ht="12.75" thickBot="1">
      <c r="A53" s="46" t="s">
        <v>139</v>
      </c>
      <c r="B53" s="49">
        <f>$B$5*$G$5*$N50*39.37</f>
        <v>0.41881344503810986</v>
      </c>
      <c r="C53" s="62">
        <f>(B53/39.37)*(P50/$E$5)*(1000/9.81)</f>
        <v>0.1118158593523867</v>
      </c>
    </row>
    <row r="56" spans="1:3" ht="12.75" thickBot="1">
      <c r="A56" s="136" t="s">
        <v>47</v>
      </c>
      <c r="B56" s="136"/>
      <c r="C56" s="136"/>
    </row>
    <row r="57" spans="1:16" ht="12">
      <c r="A57" s="133"/>
      <c r="B57" s="48" t="s">
        <v>141</v>
      </c>
      <c r="C57" s="43" t="s">
        <v>143</v>
      </c>
      <c r="E57" s="50" t="s">
        <v>22</v>
      </c>
      <c r="F57" s="48" t="s">
        <v>20</v>
      </c>
      <c r="G57" s="51" t="s">
        <v>21</v>
      </c>
      <c r="H57" s="52" t="s">
        <v>33</v>
      </c>
      <c r="I57" s="50" t="s">
        <v>26</v>
      </c>
      <c r="J57" s="48" t="s">
        <v>25</v>
      </c>
      <c r="K57" s="51" t="s">
        <v>27</v>
      </c>
      <c r="L57" s="52" t="s">
        <v>33</v>
      </c>
      <c r="M57" s="59" t="s">
        <v>28</v>
      </c>
      <c r="N57" s="51" t="s">
        <v>29</v>
      </c>
      <c r="O57" s="51" t="s">
        <v>30</v>
      </c>
      <c r="P57" s="52" t="s">
        <v>33</v>
      </c>
    </row>
    <row r="58" spans="1:16" ht="12">
      <c r="A58" s="134"/>
      <c r="B58" s="15" t="s">
        <v>142</v>
      </c>
      <c r="C58" s="44" t="s">
        <v>144</v>
      </c>
      <c r="E58" s="53" t="s">
        <v>23</v>
      </c>
      <c r="F58" s="15" t="s">
        <v>17</v>
      </c>
      <c r="G58" s="15" t="s">
        <v>24</v>
      </c>
      <c r="H58" s="54" t="s">
        <v>34</v>
      </c>
      <c r="I58" s="53" t="s">
        <v>23</v>
      </c>
      <c r="J58" s="15" t="s">
        <v>17</v>
      </c>
      <c r="K58" s="15" t="s">
        <v>24</v>
      </c>
      <c r="L58" s="54" t="s">
        <v>34</v>
      </c>
      <c r="M58" s="53" t="s">
        <v>17</v>
      </c>
      <c r="N58" s="15" t="s">
        <v>24</v>
      </c>
      <c r="O58" s="1"/>
      <c r="P58" s="54" t="s">
        <v>34</v>
      </c>
    </row>
    <row r="59" spans="1:16" ht="12.75" thickBot="1">
      <c r="A59" s="65" t="s">
        <v>35</v>
      </c>
      <c r="B59" s="37">
        <v>0</v>
      </c>
      <c r="C59" s="24">
        <v>0</v>
      </c>
      <c r="E59" s="55">
        <f>IF((0.424*'Material Properties'!$C$13+0.374*'Peru Calc'!$F$6)&gt;'Material Properties'!$C$13,'Material Properties'!$C$13,(0.424*'Material Properties'!$C$13+0.374*'Peru Calc'!$F$6))</f>
        <v>0.4302</v>
      </c>
      <c r="F59" s="56">
        <f>$L$3*E59*1000</f>
        <v>161.325</v>
      </c>
      <c r="G59" s="57">
        <f>($J$4*E59/SQRT('Material Properties'!$D$13))/100</f>
        <v>0.0009794965315711945</v>
      </c>
      <c r="H59" s="63">
        <f>F59/(G59*$G$6)</f>
        <v>65880.78458684123</v>
      </c>
      <c r="I59" s="55">
        <f>IF((0.21*'Material Properties'!$C$13+0.363*$F$6+0.0141*SQRT('Material Properties'!$E$12*'Material Properties'!$F$12))&lt;E59,E59,(0.21*'Material Properties'!$C$13+0.363*$F$6+0.0141*SQRT('Material Properties'!$E$12*'Material Properties'!$F$12)))</f>
        <v>0.4302</v>
      </c>
      <c r="J59" s="56">
        <f>$L$3*I59*1000</f>
        <v>161.325</v>
      </c>
      <c r="K59" s="58">
        <f>0.65*N59</f>
        <v>0.0025477419157127605</v>
      </c>
      <c r="L59" s="63">
        <f>J59/(K59*$G$6)</f>
        <v>25328.311161355203</v>
      </c>
      <c r="M59" s="60">
        <f>0.8*J59</f>
        <v>129.06</v>
      </c>
      <c r="N59" s="58">
        <f>O59*$J$4*I59/SQRT('Material Properties'!$D$13)/100</f>
        <v>0.003919602947250401</v>
      </c>
      <c r="O59" s="61">
        <f>IF(((0.5/(I59^2))+1.3)&gt;6,6,((0.5/(I59^2))+1.3))</f>
        <v>4.001650665330105</v>
      </c>
      <c r="P59" s="63">
        <f>M59/(N59*$G$6)</f>
        <v>13170.721803904706</v>
      </c>
    </row>
    <row r="60" spans="1:16" ht="12">
      <c r="A60" s="45" t="s">
        <v>137</v>
      </c>
      <c r="B60" s="42">
        <f>$B$6*$G$6*$G59*39.37</f>
        <v>0.09640694611989481</v>
      </c>
      <c r="C60" s="64">
        <f>(B60/39.37)*(H59/$E$6)*(1000/9.81)</f>
        <v>0.08956946693050308</v>
      </c>
      <c r="G60" s="100" t="s">
        <v>2</v>
      </c>
      <c r="H60" s="101">
        <f>2*PI()*SQRT($E$6/H59/1000)</f>
        <v>0.33169339650085505</v>
      </c>
      <c r="I60" s="101"/>
      <c r="J60" s="101"/>
      <c r="K60" s="101"/>
      <c r="L60" s="101">
        <f>2*PI()*SQRT($E$6/L59/1000)</f>
        <v>0.5349498749509979</v>
      </c>
      <c r="M60" s="101"/>
      <c r="N60" s="101"/>
      <c r="O60" s="101"/>
      <c r="P60" s="101">
        <f>2*PI()*SQRT($E$6/P59/1000)</f>
        <v>0.7418420015149507</v>
      </c>
    </row>
    <row r="61" spans="1:3" ht="12">
      <c r="A61" s="45" t="s">
        <v>138</v>
      </c>
      <c r="B61" s="42">
        <f>$B$6*$G$6*$K59*39.37</f>
        <v>0.2507614980540284</v>
      </c>
      <c r="C61" s="64">
        <f>(B61/39.37)*(L59/$E$6)*(1000/9.81)</f>
        <v>0.08956946693050306</v>
      </c>
    </row>
    <row r="62" spans="1:3" ht="12.75" thickBot="1">
      <c r="A62" s="46" t="s">
        <v>139</v>
      </c>
      <c r="B62" s="49">
        <f>$B$6*$G$6*$N59*39.37</f>
        <v>0.38578692008312065</v>
      </c>
      <c r="C62" s="62">
        <f>(B62/39.37)*(P59/$E$6)*(1000/9.81)</f>
        <v>0.07165557354440245</v>
      </c>
    </row>
  </sheetData>
  <mergeCells count="13">
    <mergeCell ref="I2:J2"/>
    <mergeCell ref="A20:A21"/>
    <mergeCell ref="A29:A30"/>
    <mergeCell ref="A39:A40"/>
    <mergeCell ref="A48:A49"/>
    <mergeCell ref="A57:A58"/>
    <mergeCell ref="A10:C10"/>
    <mergeCell ref="A56:C56"/>
    <mergeCell ref="A47:C47"/>
    <mergeCell ref="A38:C38"/>
    <mergeCell ref="A28:C28"/>
    <mergeCell ref="A19:C19"/>
    <mergeCell ref="A11:A12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62"/>
  <sheetViews>
    <sheetView workbookViewId="0" topLeftCell="A1">
      <selection activeCell="F51" sqref="F51"/>
    </sheetView>
  </sheetViews>
  <sheetFormatPr defaultColWidth="8.8515625" defaultRowHeight="12.75"/>
  <cols>
    <col min="1" max="1" width="12.421875" style="0" customWidth="1"/>
    <col min="2" max="6" width="8.8515625" style="0" customWidth="1"/>
    <col min="7" max="7" width="10.00390625" style="0" bestFit="1" customWidth="1"/>
    <col min="8" max="8" width="11.421875" style="0" bestFit="1" customWidth="1"/>
    <col min="9" max="10" width="11.421875" style="0" customWidth="1"/>
    <col min="11" max="11" width="8.8515625" style="0" customWidth="1"/>
    <col min="12" max="12" width="9.421875" style="0" bestFit="1" customWidth="1"/>
    <col min="13" max="15" width="8.8515625" style="0" customWidth="1"/>
    <col min="16" max="16" width="9.421875" style="0" bestFit="1" customWidth="1"/>
  </cols>
  <sheetData>
    <row r="1" ht="12.75" thickBot="1">
      <c r="A1" s="19" t="s">
        <v>145</v>
      </c>
    </row>
    <row r="2" spans="1:12" ht="25.5" customHeight="1" thickBot="1">
      <c r="A2" s="26"/>
      <c r="B2" s="27" t="s">
        <v>44</v>
      </c>
      <c r="C2" s="27" t="s">
        <v>149</v>
      </c>
      <c r="D2" s="27" t="s">
        <v>31</v>
      </c>
      <c r="E2" s="35" t="s">
        <v>153</v>
      </c>
      <c r="F2" s="38" t="s">
        <v>159</v>
      </c>
      <c r="G2" s="28" t="s">
        <v>158</v>
      </c>
      <c r="I2" s="131" t="s">
        <v>154</v>
      </c>
      <c r="J2" s="132"/>
      <c r="L2" s="39" t="s">
        <v>16</v>
      </c>
    </row>
    <row r="3" spans="1:12" ht="12.75" thickBot="1">
      <c r="A3" s="29"/>
      <c r="B3" s="25" t="s">
        <v>151</v>
      </c>
      <c r="C3" s="4" t="s">
        <v>152</v>
      </c>
      <c r="D3" s="4" t="s">
        <v>150</v>
      </c>
      <c r="E3" s="36" t="s">
        <v>150</v>
      </c>
      <c r="F3" s="23" t="s">
        <v>23</v>
      </c>
      <c r="G3" s="17" t="s">
        <v>157</v>
      </c>
      <c r="I3" s="33" t="s">
        <v>155</v>
      </c>
      <c r="J3" s="67">
        <v>1.13</v>
      </c>
      <c r="L3" s="29">
        <f>2.5*0.15</f>
        <v>0.375</v>
      </c>
    </row>
    <row r="4" spans="1:10" ht="12.75" thickBot="1">
      <c r="A4" s="30" t="s">
        <v>146</v>
      </c>
      <c r="B4" s="10">
        <v>1</v>
      </c>
      <c r="C4" s="10">
        <v>1</v>
      </c>
      <c r="D4" s="2">
        <v>54000</v>
      </c>
      <c r="E4" s="37">
        <f>C4*D4</f>
        <v>54000</v>
      </c>
      <c r="F4" s="16">
        <v>0</v>
      </c>
      <c r="G4" s="24">
        <v>2.5</v>
      </c>
      <c r="I4" s="34" t="s">
        <v>156</v>
      </c>
      <c r="J4" s="66">
        <v>0.72</v>
      </c>
    </row>
    <row r="5" spans="1:7" ht="12">
      <c r="A5" s="30" t="s">
        <v>147</v>
      </c>
      <c r="B5" s="10">
        <v>1</v>
      </c>
      <c r="C5" s="9">
        <v>0.9</v>
      </c>
      <c r="D5" s="2">
        <f>2*D4</f>
        <v>108000</v>
      </c>
      <c r="E5" s="37">
        <f>C5*D5</f>
        <v>97200</v>
      </c>
      <c r="F5" s="16">
        <v>0.1</v>
      </c>
      <c r="G5" s="24">
        <v>2.5</v>
      </c>
    </row>
    <row r="6" spans="1:7" ht="12.75" thickBot="1">
      <c r="A6" s="29" t="s">
        <v>148</v>
      </c>
      <c r="B6" s="31">
        <v>1</v>
      </c>
      <c r="C6" s="32">
        <v>0.85</v>
      </c>
      <c r="D6" s="4">
        <f>D4*4</f>
        <v>216000</v>
      </c>
      <c r="E6" s="36">
        <f>C6*D6</f>
        <v>183600</v>
      </c>
      <c r="F6" s="23">
        <f>F5*3</f>
        <v>0.30000000000000004</v>
      </c>
      <c r="G6" s="17">
        <v>2.5</v>
      </c>
    </row>
    <row r="7" ht="12">
      <c r="A7" s="47" t="s">
        <v>32</v>
      </c>
    </row>
    <row r="10" spans="1:3" ht="12.75" thickBot="1">
      <c r="A10" s="135" t="s">
        <v>8</v>
      </c>
      <c r="B10" s="135"/>
      <c r="C10" s="135"/>
    </row>
    <row r="11" spans="1:16" ht="12">
      <c r="A11" s="133"/>
      <c r="B11" s="48" t="s">
        <v>141</v>
      </c>
      <c r="C11" s="43" t="s">
        <v>143</v>
      </c>
      <c r="E11" s="50" t="s">
        <v>22</v>
      </c>
      <c r="F11" s="48" t="s">
        <v>20</v>
      </c>
      <c r="G11" s="51" t="s">
        <v>21</v>
      </c>
      <c r="H11" s="52" t="s">
        <v>33</v>
      </c>
      <c r="I11" s="50" t="s">
        <v>26</v>
      </c>
      <c r="J11" s="48" t="s">
        <v>25</v>
      </c>
      <c r="K11" s="51" t="s">
        <v>27</v>
      </c>
      <c r="L11" s="52" t="s">
        <v>33</v>
      </c>
      <c r="M11" s="59" t="s">
        <v>28</v>
      </c>
      <c r="N11" s="51" t="s">
        <v>29</v>
      </c>
      <c r="O11" s="51" t="s">
        <v>30</v>
      </c>
      <c r="P11" s="52" t="s">
        <v>33</v>
      </c>
    </row>
    <row r="12" spans="1:16" ht="12">
      <c r="A12" s="134"/>
      <c r="B12" s="15" t="s">
        <v>142</v>
      </c>
      <c r="C12" s="44" t="s">
        <v>144</v>
      </c>
      <c r="E12" s="53" t="s">
        <v>23</v>
      </c>
      <c r="F12" s="15" t="s">
        <v>17</v>
      </c>
      <c r="G12" s="15" t="s">
        <v>24</v>
      </c>
      <c r="H12" s="54" t="s">
        <v>34</v>
      </c>
      <c r="I12" s="53" t="s">
        <v>23</v>
      </c>
      <c r="J12" s="15" t="s">
        <v>17</v>
      </c>
      <c r="K12" s="15" t="s">
        <v>24</v>
      </c>
      <c r="L12" s="54" t="s">
        <v>34</v>
      </c>
      <c r="M12" s="53" t="s">
        <v>17</v>
      </c>
      <c r="N12" s="15" t="s">
        <v>24</v>
      </c>
      <c r="O12" s="1"/>
      <c r="P12" s="54" t="s">
        <v>34</v>
      </c>
    </row>
    <row r="13" spans="1:16" ht="12.75" thickBot="1">
      <c r="A13" s="65" t="s">
        <v>35</v>
      </c>
      <c r="B13" s="37">
        <v>0</v>
      </c>
      <c r="C13" s="24">
        <v>0</v>
      </c>
      <c r="E13" s="55">
        <f>IF((0.424*'Material Properties'!$C$6+0.374*'Chile Calc'!$F$4)&gt;'Material Properties'!$C$6,'Material Properties'!$C$6,(0.424*'Material Properties'!$C$6+0.374*'Chile Calc'!$F$4))</f>
        <v>0.33072</v>
      </c>
      <c r="F13" s="56">
        <f>$L$3*E13*1000</f>
        <v>124.02000000000001</v>
      </c>
      <c r="G13" s="57">
        <f>($J$3*E13/SQRT('Material Properties'!$D$6))/100</f>
        <v>0.0021576364755982414</v>
      </c>
      <c r="H13" s="63">
        <f>F13/(G13*$G$4)</f>
        <v>22991.82487923288</v>
      </c>
      <c r="I13" s="55">
        <f>IF((0.21*'Material Properties'!$C$6+0.363*$F$4+0.0141*SQRT('Material Properties'!$E$6*'Material Properties'!$F$6))&lt;E13,E13,(0.21*'Material Properties'!$C$6+0.363*$F$4+0.0141*SQRT('Material Properties'!$E$6*'Material Properties'!$F$6)))</f>
        <v>0.33072</v>
      </c>
      <c r="J13" s="56">
        <f>$L$3*I13*1000</f>
        <v>124.02000000000001</v>
      </c>
      <c r="K13" s="58">
        <f>0.65*N13</f>
        <v>0.008234423381867513</v>
      </c>
      <c r="L13" s="63">
        <f>J13/(K13*$G$4)</f>
        <v>6024.465551436006</v>
      </c>
      <c r="M13" s="60">
        <f>0.8*J13</f>
        <v>99.21600000000001</v>
      </c>
      <c r="N13" s="58">
        <f>O13*$J$3*I13/SQRT('Material Properties'!$D$6)/100</f>
        <v>0.012668343664411557</v>
      </c>
      <c r="O13" s="61">
        <f>IF(((0.5/(I13^2))+1.3)&gt;6,6,((0.5/(I13^2))+1.3))</f>
        <v>5.871398545438033</v>
      </c>
      <c r="P13" s="63">
        <f>M13/(N13*$G$4)</f>
        <v>3132.722086746723</v>
      </c>
    </row>
    <row r="14" spans="1:17" ht="12">
      <c r="A14" s="45" t="s">
        <v>137</v>
      </c>
      <c r="B14" s="42">
        <f>$B$4*$G$4*$G13*39.37</f>
        <v>0.21236537011075693</v>
      </c>
      <c r="C14" s="64">
        <f>(B14/39.37)*(H13/$E$4)*(1000/9.81)</f>
        <v>0.23411484879374786</v>
      </c>
      <c r="G14" s="100" t="s">
        <v>2</v>
      </c>
      <c r="H14" s="101">
        <f>2*PI()*SQRT($E$4/H13/1000)</f>
        <v>0.3045019139945375</v>
      </c>
      <c r="I14" s="102"/>
      <c r="J14" s="102"/>
      <c r="K14" s="102"/>
      <c r="L14" s="101">
        <f>2*PI()*SQRT($E$4/L13/1000)</f>
        <v>0.5948637240121712</v>
      </c>
      <c r="M14" s="102"/>
      <c r="N14" s="102"/>
      <c r="O14" s="102"/>
      <c r="P14" s="101">
        <f>2*PI()*SQRT($E$4/P13/1000)</f>
        <v>0.8249275610920549</v>
      </c>
      <c r="Q14" s="99"/>
    </row>
    <row r="15" spans="1:3" ht="12">
      <c r="A15" s="45" t="s">
        <v>138</v>
      </c>
      <c r="B15" s="42">
        <f>$B$4*$G$4*$K13*39.37</f>
        <v>0.8104731213603099</v>
      </c>
      <c r="C15" s="64">
        <f>(B15/39.37)*(L13/$E$4)*(1000/9.81)</f>
        <v>0.2341148487937479</v>
      </c>
    </row>
    <row r="16" spans="1:3" ht="12.75" thickBot="1">
      <c r="A16" s="46" t="s">
        <v>139</v>
      </c>
      <c r="B16" s="49">
        <f>$B$4*$G$4*$N13*39.37</f>
        <v>1.2468817251697075</v>
      </c>
      <c r="C16" s="62">
        <f>(B16/39.37)*(P13/$E$4)*(1000/9.81)</f>
        <v>0.18729187903499833</v>
      </c>
    </row>
    <row r="19" spans="1:3" ht="12.75" thickBot="1">
      <c r="A19" s="135" t="s">
        <v>3</v>
      </c>
      <c r="B19" s="135"/>
      <c r="C19" s="135"/>
    </row>
    <row r="20" spans="1:16" ht="12">
      <c r="A20" s="133"/>
      <c r="B20" s="48" t="s">
        <v>141</v>
      </c>
      <c r="C20" s="43" t="s">
        <v>143</v>
      </c>
      <c r="E20" s="50" t="s">
        <v>22</v>
      </c>
      <c r="F20" s="48" t="s">
        <v>20</v>
      </c>
      <c r="G20" s="51" t="s">
        <v>21</v>
      </c>
      <c r="H20" s="52" t="s">
        <v>33</v>
      </c>
      <c r="I20" s="50" t="s">
        <v>26</v>
      </c>
      <c r="J20" s="48" t="s">
        <v>25</v>
      </c>
      <c r="K20" s="51" t="s">
        <v>27</v>
      </c>
      <c r="L20" s="52" t="s">
        <v>33</v>
      </c>
      <c r="M20" s="59" t="s">
        <v>28</v>
      </c>
      <c r="N20" s="51" t="s">
        <v>29</v>
      </c>
      <c r="O20" s="51" t="s">
        <v>30</v>
      </c>
      <c r="P20" s="52" t="s">
        <v>33</v>
      </c>
    </row>
    <row r="21" spans="1:16" ht="12">
      <c r="A21" s="134"/>
      <c r="B21" s="15" t="s">
        <v>142</v>
      </c>
      <c r="C21" s="44" t="s">
        <v>144</v>
      </c>
      <c r="E21" s="53" t="s">
        <v>23</v>
      </c>
      <c r="F21" s="15" t="s">
        <v>17</v>
      </c>
      <c r="G21" s="15" t="s">
        <v>24</v>
      </c>
      <c r="H21" s="54" t="s">
        <v>34</v>
      </c>
      <c r="I21" s="53" t="s">
        <v>23</v>
      </c>
      <c r="J21" s="15" t="s">
        <v>17</v>
      </c>
      <c r="K21" s="15" t="s">
        <v>24</v>
      </c>
      <c r="L21" s="54" t="s">
        <v>34</v>
      </c>
      <c r="M21" s="53" t="s">
        <v>17</v>
      </c>
      <c r="N21" s="15" t="s">
        <v>24</v>
      </c>
      <c r="O21" s="1"/>
      <c r="P21" s="54" t="s">
        <v>34</v>
      </c>
    </row>
    <row r="22" spans="1:16" ht="12.75" thickBot="1">
      <c r="A22" s="65" t="s">
        <v>35</v>
      </c>
      <c r="B22" s="37">
        <v>0</v>
      </c>
      <c r="C22" s="24">
        <v>0</v>
      </c>
      <c r="E22" s="55">
        <f>IF((0.424*'Material Properties'!$C$6+0.374*'Chile Calc'!$F$5)&gt;'Material Properties'!$C$6,'Material Properties'!$C$6,(0.424*'Material Properties'!$C$6+0.374*'Chile Calc'!$F$5))</f>
        <v>0.36812</v>
      </c>
      <c r="F22" s="56">
        <f>$L$3*E22*1000</f>
        <v>138.045</v>
      </c>
      <c r="G22" s="57">
        <f>($J$3*E22/SQRT('Material Properties'!$D$6))/100</f>
        <v>0.0024016362463631607</v>
      </c>
      <c r="H22" s="63">
        <f>F22/(G22*$G$5)</f>
        <v>22991.824879232885</v>
      </c>
      <c r="I22" s="55">
        <f>IF((0.21*'Material Properties'!$C$6+0.363*$F$5+0.0141*SQRT('Material Properties'!$E$6*'Material Properties'!$F$6))&lt;E22,E22,(0.21*'Material Properties'!$C$6+0.363*$F$5+0.0141*SQRT('Material Properties'!$E$6*'Material Properties'!$F$6)))</f>
        <v>0.36812</v>
      </c>
      <c r="J22" s="56">
        <f>$L$3*I22*1000</f>
        <v>138.045</v>
      </c>
      <c r="K22" s="58">
        <f>0.65*N22</f>
        <v>0.007789240456056097</v>
      </c>
      <c r="L22" s="63">
        <f>J22/(K22*$G$6)</f>
        <v>7089.0095525383695</v>
      </c>
      <c r="M22" s="60">
        <f>0.8*J22</f>
        <v>110.43599999999999</v>
      </c>
      <c r="N22" s="58">
        <f>O22*$J$3*I22/SQRT('Material Properties'!$D$6)/100</f>
        <v>0.011983446855470918</v>
      </c>
      <c r="O22" s="61">
        <f>IF(((0.5/(I22^2))+1.3)&gt;6,6,((0.5/(I22^2))+1.3))</f>
        <v>4.989701031377112</v>
      </c>
      <c r="P22" s="63">
        <f>M22/(N22*$G$5)</f>
        <v>3686.284967319952</v>
      </c>
    </row>
    <row r="23" spans="1:16" ht="12">
      <c r="A23" s="45" t="s">
        <v>137</v>
      </c>
      <c r="B23" s="42">
        <f>$B$5*$G$5*$G22*39.37</f>
        <v>0.2363810475482941</v>
      </c>
      <c r="C23" s="64">
        <f>(B23/39.37)*(H22/$E$5)*(1000/9.81)</f>
        <v>0.1447722782245378</v>
      </c>
      <c r="G23" s="100" t="s">
        <v>2</v>
      </c>
      <c r="H23" s="101">
        <f>2*PI()*SQRT($E$5/H22/1000)</f>
        <v>0.4085321873823482</v>
      </c>
      <c r="I23" s="101"/>
      <c r="J23" s="101"/>
      <c r="K23" s="101"/>
      <c r="L23" s="101">
        <f>2*PI()*SQRT($E$5/L22/1000)</f>
        <v>0.7357329729747943</v>
      </c>
      <c r="M23" s="101"/>
      <c r="N23" s="101"/>
      <c r="O23" s="101"/>
      <c r="P23" s="101">
        <f>2*PI()*SQRT($E$5/P22/1000)</f>
        <v>1.020278061196224</v>
      </c>
    </row>
    <row r="24" spans="1:3" ht="12">
      <c r="A24" s="45" t="s">
        <v>138</v>
      </c>
      <c r="B24" s="42">
        <f>$B$5*$G$5*$K22*39.37</f>
        <v>0.7666559918873213</v>
      </c>
      <c r="C24" s="64">
        <f>(B24/39.37)*(L22/$E$5)*(1000/9.81)</f>
        <v>0.1447722782245378</v>
      </c>
    </row>
    <row r="25" spans="1:3" ht="12.75" thickBot="1">
      <c r="A25" s="46" t="s">
        <v>139</v>
      </c>
      <c r="B25" s="49">
        <f>$B$5*$G$5*$N22*39.37</f>
        <v>1.1794707567497251</v>
      </c>
      <c r="C25" s="62">
        <f>(B25/39.37)*(P22/$E$5)*(1000/9.81)</f>
        <v>0.11581782257963026</v>
      </c>
    </row>
    <row r="28" spans="1:3" ht="12.75" thickBot="1">
      <c r="A28" s="135" t="s">
        <v>4</v>
      </c>
      <c r="B28" s="135"/>
      <c r="C28" s="135"/>
    </row>
    <row r="29" spans="1:16" ht="12">
      <c r="A29" s="133"/>
      <c r="B29" s="48" t="s">
        <v>141</v>
      </c>
      <c r="C29" s="43" t="s">
        <v>143</v>
      </c>
      <c r="E29" s="50" t="s">
        <v>22</v>
      </c>
      <c r="F29" s="48" t="s">
        <v>20</v>
      </c>
      <c r="G29" s="51" t="s">
        <v>21</v>
      </c>
      <c r="H29" s="52" t="s">
        <v>33</v>
      </c>
      <c r="I29" s="50" t="s">
        <v>26</v>
      </c>
      <c r="J29" s="48" t="s">
        <v>25</v>
      </c>
      <c r="K29" s="51" t="s">
        <v>27</v>
      </c>
      <c r="L29" s="52" t="s">
        <v>33</v>
      </c>
      <c r="M29" s="59" t="s">
        <v>28</v>
      </c>
      <c r="N29" s="51" t="s">
        <v>29</v>
      </c>
      <c r="O29" s="51" t="s">
        <v>30</v>
      </c>
      <c r="P29" s="52" t="s">
        <v>33</v>
      </c>
    </row>
    <row r="30" spans="1:16" ht="12">
      <c r="A30" s="134"/>
      <c r="B30" s="15" t="s">
        <v>142</v>
      </c>
      <c r="C30" s="44" t="s">
        <v>144</v>
      </c>
      <c r="E30" s="53" t="s">
        <v>23</v>
      </c>
      <c r="F30" s="15" t="s">
        <v>17</v>
      </c>
      <c r="G30" s="15" t="s">
        <v>24</v>
      </c>
      <c r="H30" s="54" t="s">
        <v>34</v>
      </c>
      <c r="I30" s="53" t="s">
        <v>23</v>
      </c>
      <c r="J30" s="15" t="s">
        <v>17</v>
      </c>
      <c r="K30" s="15" t="s">
        <v>24</v>
      </c>
      <c r="L30" s="54" t="s">
        <v>34</v>
      </c>
      <c r="M30" s="53" t="s">
        <v>17</v>
      </c>
      <c r="N30" s="15" t="s">
        <v>24</v>
      </c>
      <c r="O30" s="1"/>
      <c r="P30" s="54" t="s">
        <v>34</v>
      </c>
    </row>
    <row r="31" spans="1:16" ht="12.75" thickBot="1">
      <c r="A31" s="65" t="s">
        <v>35</v>
      </c>
      <c r="B31" s="37">
        <v>0</v>
      </c>
      <c r="C31" s="24">
        <v>0</v>
      </c>
      <c r="E31" s="55">
        <f>IF((0.424*'Material Properties'!$C$6+0.374*'Chile Calc'!$F$6)&gt;'Material Properties'!$C$6,'Material Properties'!$C$6,(0.424*'Material Properties'!$C$6+0.374*'Chile Calc'!$F$6))</f>
        <v>0.44292000000000004</v>
      </c>
      <c r="F31" s="56">
        <f>$L$3*E31*1000</f>
        <v>166.09500000000003</v>
      </c>
      <c r="G31" s="57">
        <f>($J$3*E31/SQRT('Material Properties'!$D$6))/100</f>
        <v>0.0028896357878930006</v>
      </c>
      <c r="H31" s="63">
        <f>F31/(G31*$G$6)</f>
        <v>22991.824879232885</v>
      </c>
      <c r="I31" s="55">
        <f>IF((0.21*'Material Properties'!$C$6+0.363*$F$6+0.0141*SQRT('Material Properties'!$E$6*'Material Properties'!$F$6))&lt;E31,E31,(0.21*'Material Properties'!$C$6+0.363*$F$6+0.0141*SQRT('Material Properties'!$E$6*'Material Properties'!$F$6)))</f>
        <v>0.44292000000000004</v>
      </c>
      <c r="J31" s="56">
        <f>$L$3*I31*1000</f>
        <v>166.09500000000003</v>
      </c>
      <c r="K31" s="58">
        <f>0.65*N31</f>
        <v>0.007228879564888841</v>
      </c>
      <c r="L31" s="63">
        <f>J31/(K31*$G$6)</f>
        <v>9190.635893658251</v>
      </c>
      <c r="M31" s="60">
        <f>0.8*J31</f>
        <v>132.87600000000003</v>
      </c>
      <c r="N31" s="58">
        <f>O31*$J$3*I31/SQRT('Material Properties'!$D$6)/100</f>
        <v>0.011121353176752063</v>
      </c>
      <c r="O31" s="61">
        <f>IF(((0.5/(I31^2))+1.3)&gt;6,6,((0.5/(I31^2))+1.3))</f>
        <v>3.8487041250486724</v>
      </c>
      <c r="P31" s="63">
        <f>M31/(N31*$G$6)</f>
        <v>4779.13066470229</v>
      </c>
    </row>
    <row r="32" spans="1:16" ht="12">
      <c r="A32" s="45" t="s">
        <v>137</v>
      </c>
      <c r="B32" s="42">
        <f>$B$6*$G$6*$G31*39.37</f>
        <v>0.28441240242336857</v>
      </c>
      <c r="C32" s="64">
        <f>(B32/39.37)*(H31/$E$6)*(1000/9.81)</f>
        <v>0.09221782494853191</v>
      </c>
      <c r="G32" s="100" t="s">
        <v>2</v>
      </c>
      <c r="H32" s="101">
        <f>2*PI()*SQRT($E$6/H31/1000)</f>
        <v>0.5614737866806827</v>
      </c>
      <c r="I32" s="101"/>
      <c r="J32" s="101"/>
      <c r="K32" s="101"/>
      <c r="L32" s="101">
        <f>2*PI()*SQRT($E$6/L31/1000)</f>
        <v>0.8880622847025822</v>
      </c>
      <c r="M32" s="101"/>
      <c r="N32" s="101"/>
      <c r="O32" s="101"/>
      <c r="P32" s="101">
        <f>2*PI()*SQRT($E$6/P31/1000)</f>
        <v>1.2315208089618692</v>
      </c>
    </row>
    <row r="33" spans="1:3" ht="12">
      <c r="A33" s="45" t="s">
        <v>138</v>
      </c>
      <c r="B33" s="42">
        <f>$B$6*$G$6*$K31*39.37</f>
        <v>0.7115024711741841</v>
      </c>
      <c r="C33" s="64">
        <f>(B33/39.37)*(L31/$E$6)*(1000/9.81)</f>
        <v>0.09221782494853192</v>
      </c>
    </row>
    <row r="34" spans="1:3" ht="12.75" thickBot="1">
      <c r="A34" s="46" t="s">
        <v>139</v>
      </c>
      <c r="B34" s="49">
        <f>$B$6*$G$6*$N31*39.37</f>
        <v>1.0946191864218218</v>
      </c>
      <c r="C34" s="62">
        <f>(B34/39.37)*(P31/$E$6)*(1000/9.81)</f>
        <v>0.07377425995882554</v>
      </c>
    </row>
    <row r="38" spans="1:3" ht="12.75" thickBot="1">
      <c r="A38" s="136" t="s">
        <v>5</v>
      </c>
      <c r="B38" s="136"/>
      <c r="C38" s="136"/>
    </row>
    <row r="39" spans="1:16" ht="12">
      <c r="A39" s="133"/>
      <c r="B39" s="48" t="s">
        <v>141</v>
      </c>
      <c r="C39" s="43" t="s">
        <v>143</v>
      </c>
      <c r="E39" s="50" t="s">
        <v>22</v>
      </c>
      <c r="F39" s="48" t="s">
        <v>20</v>
      </c>
      <c r="G39" s="51" t="s">
        <v>21</v>
      </c>
      <c r="H39" s="52" t="s">
        <v>33</v>
      </c>
      <c r="I39" s="50" t="s">
        <v>26</v>
      </c>
      <c r="J39" s="48" t="s">
        <v>25</v>
      </c>
      <c r="K39" s="51" t="s">
        <v>27</v>
      </c>
      <c r="L39" s="52" t="s">
        <v>33</v>
      </c>
      <c r="M39" s="59" t="s">
        <v>28</v>
      </c>
      <c r="N39" s="51" t="s">
        <v>29</v>
      </c>
      <c r="O39" s="51" t="s">
        <v>30</v>
      </c>
      <c r="P39" s="52" t="s">
        <v>33</v>
      </c>
    </row>
    <row r="40" spans="1:16" ht="12">
      <c r="A40" s="134"/>
      <c r="B40" s="15" t="s">
        <v>142</v>
      </c>
      <c r="C40" s="44" t="s">
        <v>144</v>
      </c>
      <c r="E40" s="53" t="s">
        <v>23</v>
      </c>
      <c r="F40" s="15" t="s">
        <v>17</v>
      </c>
      <c r="G40" s="15" t="s">
        <v>24</v>
      </c>
      <c r="H40" s="54" t="s">
        <v>34</v>
      </c>
      <c r="I40" s="53" t="s">
        <v>23</v>
      </c>
      <c r="J40" s="15" t="s">
        <v>17</v>
      </c>
      <c r="K40" s="15" t="s">
        <v>24</v>
      </c>
      <c r="L40" s="54" t="s">
        <v>34</v>
      </c>
      <c r="M40" s="53" t="s">
        <v>17</v>
      </c>
      <c r="N40" s="15" t="s">
        <v>24</v>
      </c>
      <c r="O40" s="1"/>
      <c r="P40" s="54" t="s">
        <v>34</v>
      </c>
    </row>
    <row r="41" spans="1:16" ht="12.75" thickBot="1">
      <c r="A41" s="65" t="s">
        <v>35</v>
      </c>
      <c r="B41" s="37">
        <v>0</v>
      </c>
      <c r="C41" s="24">
        <v>0</v>
      </c>
      <c r="E41" s="55">
        <f>IF((0.424*'Material Properties'!$C$7+0.374*'Chile Calc'!$F$4)&gt;'Material Properties'!$C$7,'Material Properties'!$C$7,(0.424*'Material Properties'!$C$7+0.374*'Chile Calc'!$F$4))</f>
        <v>0.27984</v>
      </c>
      <c r="F41" s="56">
        <f>$L$3*E41*1000</f>
        <v>104.94</v>
      </c>
      <c r="G41" s="57">
        <f>($J$4*E41/SQRT('Material Properties'!$D$7))/100</f>
        <v>0.0006716159999999999</v>
      </c>
      <c r="H41" s="63">
        <f>F41/(G41*$G$4)</f>
        <v>62500.00000000001</v>
      </c>
      <c r="I41" s="55">
        <f>IF((0.21*'Material Properties'!$C$7+0.363*$F$4+0.0141*SQRT('Material Properties'!$E$6*'Material Properties'!$F$6))&lt;E41,E41,(0.21*'Material Properties'!$C$7+0.363*$F$4+0.0141*SQRT('Material Properties'!$E$6*'Material Properties'!$F$6)))</f>
        <v>0.27984</v>
      </c>
      <c r="J41" s="56">
        <f>$L$3*I41*1000</f>
        <v>104.94</v>
      </c>
      <c r="K41" s="58">
        <f>0.65*N41</f>
        <v>0.0026193024</v>
      </c>
      <c r="L41" s="63">
        <f>J41/(K41*$G$4)</f>
        <v>16025.641025641024</v>
      </c>
      <c r="M41" s="60">
        <f>0.8*J41</f>
        <v>83.952</v>
      </c>
      <c r="N41" s="58">
        <f>O41*$J$4*I41/SQRT('Material Properties'!$D$7)/100</f>
        <v>0.004029696</v>
      </c>
      <c r="O41" s="61">
        <f>IF(((0.5/(I41^2))+1.3)&gt;6,6,((0.5/(I41^2))+1.3))</f>
        <v>6</v>
      </c>
      <c r="P41" s="63">
        <f>M41/(N41*$G$4)</f>
        <v>8333.333333333334</v>
      </c>
    </row>
    <row r="42" spans="1:16" ht="12">
      <c r="A42" s="45" t="s">
        <v>137</v>
      </c>
      <c r="B42" s="42">
        <f>$B$4*$G$4*$G41*39.37</f>
        <v>0.06610380479999999</v>
      </c>
      <c r="C42" s="64">
        <f>(B42/39.37)*(H41/$E$4)*(1000/9.81)</f>
        <v>0.19809717974855584</v>
      </c>
      <c r="G42" s="100" t="s">
        <v>2</v>
      </c>
      <c r="H42" s="101">
        <f>2*PI()*SQRT($E$4/H41/1000)</f>
        <v>0.1846871755433084</v>
      </c>
      <c r="I42" s="102"/>
      <c r="J42" s="102"/>
      <c r="K42" s="102"/>
      <c r="L42" s="101">
        <f>2*PI()*SQRT($E$4/L41/1000)</f>
        <v>0.36472794787299045</v>
      </c>
      <c r="M42" s="102"/>
      <c r="N42" s="102"/>
      <c r="O42" s="102"/>
      <c r="P42" s="101">
        <f>2*PI()*SQRT($E$4/P41/1000)</f>
        <v>0.5057866606349323</v>
      </c>
    </row>
    <row r="43" spans="1:3" ht="12">
      <c r="A43" s="45" t="s">
        <v>138</v>
      </c>
      <c r="B43" s="42">
        <f>$B$4*$G$4*$K41*39.37</f>
        <v>0.25780483872</v>
      </c>
      <c r="C43" s="64">
        <f>(B43/39.37)*(L41/$E$4)*(1000/9.81)</f>
        <v>0.19809717974855584</v>
      </c>
    </row>
    <row r="44" spans="1:3" ht="12.75" thickBot="1">
      <c r="A44" s="46" t="s">
        <v>139</v>
      </c>
      <c r="B44" s="49">
        <f>$B$4*$G$4*$N41*39.37</f>
        <v>0.3966228288</v>
      </c>
      <c r="C44" s="62">
        <f>(B44/39.37)*(P41/$E$4)*(1000/9.81)</f>
        <v>0.15847774379884474</v>
      </c>
    </row>
    <row r="47" spans="1:3" ht="12.75" thickBot="1">
      <c r="A47" s="136" t="s">
        <v>6</v>
      </c>
      <c r="B47" s="136"/>
      <c r="C47" s="136"/>
    </row>
    <row r="48" spans="1:16" ht="12">
      <c r="A48" s="133"/>
      <c r="B48" s="48" t="s">
        <v>141</v>
      </c>
      <c r="C48" s="43" t="s">
        <v>143</v>
      </c>
      <c r="E48" s="50" t="s">
        <v>22</v>
      </c>
      <c r="F48" s="48" t="s">
        <v>20</v>
      </c>
      <c r="G48" s="51" t="s">
        <v>21</v>
      </c>
      <c r="H48" s="52" t="s">
        <v>33</v>
      </c>
      <c r="I48" s="50" t="s">
        <v>26</v>
      </c>
      <c r="J48" s="48" t="s">
        <v>25</v>
      </c>
      <c r="K48" s="51" t="s">
        <v>27</v>
      </c>
      <c r="L48" s="52" t="s">
        <v>33</v>
      </c>
      <c r="M48" s="59" t="s">
        <v>28</v>
      </c>
      <c r="N48" s="51" t="s">
        <v>29</v>
      </c>
      <c r="O48" s="51" t="s">
        <v>30</v>
      </c>
      <c r="P48" s="52" t="s">
        <v>33</v>
      </c>
    </row>
    <row r="49" spans="1:16" ht="12">
      <c r="A49" s="134"/>
      <c r="B49" s="15" t="s">
        <v>142</v>
      </c>
      <c r="C49" s="44" t="s">
        <v>144</v>
      </c>
      <c r="E49" s="53" t="s">
        <v>23</v>
      </c>
      <c r="F49" s="15" t="s">
        <v>17</v>
      </c>
      <c r="G49" s="15" t="s">
        <v>24</v>
      </c>
      <c r="H49" s="54" t="s">
        <v>34</v>
      </c>
      <c r="I49" s="53" t="s">
        <v>23</v>
      </c>
      <c r="J49" s="15" t="s">
        <v>17</v>
      </c>
      <c r="K49" s="15" t="s">
        <v>24</v>
      </c>
      <c r="L49" s="54" t="s">
        <v>34</v>
      </c>
      <c r="M49" s="53" t="s">
        <v>17</v>
      </c>
      <c r="N49" s="15" t="s">
        <v>24</v>
      </c>
      <c r="O49" s="1"/>
      <c r="P49" s="54" t="s">
        <v>34</v>
      </c>
    </row>
    <row r="50" spans="1:16" ht="12.75" thickBot="1">
      <c r="A50" s="65" t="s">
        <v>35</v>
      </c>
      <c r="B50" s="37">
        <v>0</v>
      </c>
      <c r="C50" s="24">
        <v>0</v>
      </c>
      <c r="E50" s="55">
        <f>IF((0.424*'Material Properties'!$C$7+0.374*'Chile Calc'!$F$5)&gt;'Material Properties'!$C$7,'Material Properties'!$C$7,(0.424*'Material Properties'!$C$7+0.374*'Chile Calc'!$F$5))</f>
        <v>0.31723999999999997</v>
      </c>
      <c r="F50" s="56">
        <f>$L$3*E50*1000</f>
        <v>118.96499999999999</v>
      </c>
      <c r="G50" s="57">
        <f>($J$4*E50/SQRT('Material Properties'!$D$7))/100</f>
        <v>0.0007613759999999998</v>
      </c>
      <c r="H50" s="63">
        <f>F50/(G50*$G$5)</f>
        <v>62500.00000000001</v>
      </c>
      <c r="I50" s="55">
        <f>IF((0.21*'Material Properties'!$C$7+0.363*$F$5+0.0141*SQRT('Material Properties'!$E$6*'Material Properties'!$F$6))&lt;E50,E50,(0.21*'Material Properties'!$C$7+0.363*$F$5+0.0141*SQRT('Material Properties'!$E$6*'Material Properties'!$F$6)))</f>
        <v>0.31723999999999997</v>
      </c>
      <c r="J50" s="56">
        <f>$L$3*I50*1000</f>
        <v>118.96499999999999</v>
      </c>
      <c r="K50" s="58">
        <f>0.65*N50</f>
        <v>0.0029693664</v>
      </c>
      <c r="L50" s="63">
        <f>J50/(K50*$G$6)</f>
        <v>16025.641025641025</v>
      </c>
      <c r="M50" s="60">
        <f>0.8*J50</f>
        <v>95.172</v>
      </c>
      <c r="N50" s="58">
        <f>O50*$J$4*I50/SQRT('Material Properties'!$D$7)/100</f>
        <v>0.004568256</v>
      </c>
      <c r="O50" s="61">
        <f>IF(((0.5/(I50^2))+1.3)&gt;6,6,((0.5/(I50^2))+1.3))</f>
        <v>6</v>
      </c>
      <c r="P50" s="63">
        <f>M50/(N50*$G$5)</f>
        <v>8333.333333333334</v>
      </c>
    </row>
    <row r="51" spans="1:16" ht="12">
      <c r="A51" s="45" t="s">
        <v>137</v>
      </c>
      <c r="B51" s="42">
        <f>$B$5*$G$5*$G50*39.37</f>
        <v>0.07493843279999998</v>
      </c>
      <c r="C51" s="64">
        <f>(B51/39.37)*(H50/$E$5)*(1000/9.81)</f>
        <v>0.12476246208832004</v>
      </c>
      <c r="G51" s="100" t="s">
        <v>2</v>
      </c>
      <c r="H51" s="101">
        <f>2*PI()*SQRT($E$5/H50/1000)</f>
        <v>0.24778384745236456</v>
      </c>
      <c r="I51" s="99"/>
      <c r="J51" s="99"/>
      <c r="K51" s="99"/>
      <c r="L51" s="101">
        <f>2*PI()*SQRT($E$5/L50/1000)</f>
        <v>0.4893338908428038</v>
      </c>
      <c r="M51" s="99"/>
      <c r="N51" s="99"/>
      <c r="O51" s="99"/>
      <c r="P51" s="101">
        <f>2*PI()*SQRT($E$5/P50/1000)</f>
        <v>0.6785840131753953</v>
      </c>
    </row>
    <row r="52" spans="1:3" ht="12">
      <c r="A52" s="45" t="s">
        <v>138</v>
      </c>
      <c r="B52" s="42">
        <f>$B$5*$G$5*$K50*39.37</f>
        <v>0.29225988791999996</v>
      </c>
      <c r="C52" s="64">
        <f>(B52/39.37)*(L50/$E$5)*(1000/9.81)</f>
        <v>0.12476246208832004</v>
      </c>
    </row>
    <row r="53" spans="1:3" ht="12.75" thickBot="1">
      <c r="A53" s="46" t="s">
        <v>139</v>
      </c>
      <c r="B53" s="49">
        <f>$B$5*$G$5*$N50*39.37</f>
        <v>0.44963059679999995</v>
      </c>
      <c r="C53" s="62">
        <f>(B53/39.37)*(P50/$E$5)*(1000/9.81)</f>
        <v>0.09980996967065603</v>
      </c>
    </row>
    <row r="56" spans="1:3" ht="12.75" thickBot="1">
      <c r="A56" s="136" t="s">
        <v>7</v>
      </c>
      <c r="B56" s="136"/>
      <c r="C56" s="136"/>
    </row>
    <row r="57" spans="1:16" ht="12">
      <c r="A57" s="133"/>
      <c r="B57" s="48" t="s">
        <v>141</v>
      </c>
      <c r="C57" s="43" t="s">
        <v>143</v>
      </c>
      <c r="E57" s="50" t="s">
        <v>22</v>
      </c>
      <c r="F57" s="48" t="s">
        <v>20</v>
      </c>
      <c r="G57" s="51" t="s">
        <v>21</v>
      </c>
      <c r="H57" s="52" t="s">
        <v>33</v>
      </c>
      <c r="I57" s="50" t="s">
        <v>26</v>
      </c>
      <c r="J57" s="48" t="s">
        <v>25</v>
      </c>
      <c r="K57" s="51" t="s">
        <v>27</v>
      </c>
      <c r="L57" s="52" t="s">
        <v>33</v>
      </c>
      <c r="M57" s="59" t="s">
        <v>28</v>
      </c>
      <c r="N57" s="51" t="s">
        <v>29</v>
      </c>
      <c r="O57" s="51" t="s">
        <v>30</v>
      </c>
      <c r="P57" s="52" t="s">
        <v>33</v>
      </c>
    </row>
    <row r="58" spans="1:16" ht="12">
      <c r="A58" s="134"/>
      <c r="B58" s="15" t="s">
        <v>142</v>
      </c>
      <c r="C58" s="44" t="s">
        <v>144</v>
      </c>
      <c r="E58" s="53" t="s">
        <v>23</v>
      </c>
      <c r="F58" s="15" t="s">
        <v>17</v>
      </c>
      <c r="G58" s="15" t="s">
        <v>24</v>
      </c>
      <c r="H58" s="54" t="s">
        <v>34</v>
      </c>
      <c r="I58" s="53" t="s">
        <v>23</v>
      </c>
      <c r="J58" s="15" t="s">
        <v>17</v>
      </c>
      <c r="K58" s="15" t="s">
        <v>24</v>
      </c>
      <c r="L58" s="54" t="s">
        <v>34</v>
      </c>
      <c r="M58" s="53" t="s">
        <v>17</v>
      </c>
      <c r="N58" s="15" t="s">
        <v>24</v>
      </c>
      <c r="O58" s="1"/>
      <c r="P58" s="54" t="s">
        <v>34</v>
      </c>
    </row>
    <row r="59" spans="1:16" ht="12.75" thickBot="1">
      <c r="A59" s="65" t="s">
        <v>35</v>
      </c>
      <c r="B59" s="37">
        <v>0</v>
      </c>
      <c r="C59" s="24">
        <v>0</v>
      </c>
      <c r="E59" s="55">
        <f>IF((0.424*'Material Properties'!$C$7+0.374*'Chile Calc'!$F$6)&gt;'Material Properties'!$C$7,'Material Properties'!$C$7,(0.424*'Material Properties'!$C$7+0.374*'Chile Calc'!$F$6))</f>
        <v>0.39204</v>
      </c>
      <c r="F59" s="56">
        <f>$L$3*E59*1000</f>
        <v>147.01500000000001</v>
      </c>
      <c r="G59" s="57">
        <f>($J$4*E59/SQRT('Material Properties'!$D$7))/100</f>
        <v>0.000940896</v>
      </c>
      <c r="H59" s="63">
        <f>F59/(G59*$G$6)</f>
        <v>62500.000000000015</v>
      </c>
      <c r="I59" s="55">
        <f>IF((0.21*'Material Properties'!$C$7+0.363*$F$6+0.0141*SQRT('Material Properties'!$E$6*'Material Properties'!$F$6))&lt;E59,E59,(0.21*'Material Properties'!$C$7+0.363*$F$6+0.0141*SQRT('Material Properties'!$E$6*'Material Properties'!$F$6)))</f>
        <v>0.39204</v>
      </c>
      <c r="J59" s="56">
        <f>$L$3*I59*1000</f>
        <v>147.01500000000001</v>
      </c>
      <c r="K59" s="58">
        <f>0.65*N59</f>
        <v>0.0027846500186838076</v>
      </c>
      <c r="L59" s="63">
        <f>J59/(K59*$G$6)</f>
        <v>21117.914138378957</v>
      </c>
      <c r="M59" s="60">
        <f>0.8*J59</f>
        <v>117.61200000000002</v>
      </c>
      <c r="N59" s="58">
        <f>O59*$J$4*I59/SQRT('Material Properties'!$D$7)/100</f>
        <v>0.004284076951821242</v>
      </c>
      <c r="O59" s="61">
        <f>IF(((0.5/(I59^2))+1.3)&gt;6,6,((0.5/(I59^2))+1.3))</f>
        <v>4.553188611516302</v>
      </c>
      <c r="P59" s="63">
        <f>M59/(N59*$G$6)</f>
        <v>10981.31535195706</v>
      </c>
    </row>
    <row r="60" spans="1:16" ht="12">
      <c r="A60" s="45" t="s">
        <v>137</v>
      </c>
      <c r="B60" s="42">
        <f>$B$6*$G$6*$G59*39.37</f>
        <v>0.09260768879999999</v>
      </c>
      <c r="C60" s="64">
        <f>(B60/39.37)*(H59/$E$6)*(1000/9.81)</f>
        <v>0.08162439287641664</v>
      </c>
      <c r="G60" s="100" t="s">
        <v>2</v>
      </c>
      <c r="H60" s="101">
        <f>2*PI()*SQRT($E$6/H59/1000)</f>
        <v>0.3405463251226775</v>
      </c>
      <c r="I60" s="101"/>
      <c r="J60" s="101"/>
      <c r="K60" s="101"/>
      <c r="L60" s="101">
        <f>2*PI()*SQRT($E$6/L59/1000)</f>
        <v>0.585855750200311</v>
      </c>
      <c r="M60" s="101"/>
      <c r="N60" s="101"/>
      <c r="O60" s="101"/>
      <c r="P60" s="101">
        <f>2*PI()*SQRT($E$6/P59/1000)</f>
        <v>0.8124357489894783</v>
      </c>
    </row>
    <row r="61" spans="1:3" ht="12">
      <c r="A61" s="45" t="s">
        <v>138</v>
      </c>
      <c r="B61" s="42">
        <f>$B$6*$G$6*$K59*39.37</f>
        <v>0.27407917808895377</v>
      </c>
      <c r="C61" s="64">
        <f>(B61/39.37)*(L59/$E$6)*(1000/9.81)</f>
        <v>0.08162439287641664</v>
      </c>
    </row>
    <row r="62" spans="1:3" ht="12.75" thickBot="1">
      <c r="A62" s="46" t="s">
        <v>139</v>
      </c>
      <c r="B62" s="49">
        <f>$B$6*$G$6*$N59*39.37</f>
        <v>0.4216602739830057</v>
      </c>
      <c r="C62" s="62">
        <f>(B62/39.37)*(P59/$E$6)*(1000/9.81)</f>
        <v>0.0652995143011333</v>
      </c>
    </row>
  </sheetData>
  <mergeCells count="13">
    <mergeCell ref="I2:J2"/>
    <mergeCell ref="A20:A21"/>
    <mergeCell ref="A29:A30"/>
    <mergeCell ref="A39:A40"/>
    <mergeCell ref="A48:A49"/>
    <mergeCell ref="A57:A58"/>
    <mergeCell ref="A10:C10"/>
    <mergeCell ref="A56:C56"/>
    <mergeCell ref="A47:C47"/>
    <mergeCell ref="A38:C38"/>
    <mergeCell ref="A28:C28"/>
    <mergeCell ref="A19:C19"/>
    <mergeCell ref="A11:A1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Q62"/>
  <sheetViews>
    <sheetView workbookViewId="0" topLeftCell="A21">
      <selection activeCell="T47" sqref="T47"/>
    </sheetView>
  </sheetViews>
  <sheetFormatPr defaultColWidth="8.8515625" defaultRowHeight="12.75"/>
  <cols>
    <col min="1" max="1" width="12.421875" style="0" customWidth="1"/>
    <col min="2" max="6" width="8.8515625" style="0" customWidth="1"/>
    <col min="7" max="7" width="10.00390625" style="0" bestFit="1" customWidth="1"/>
    <col min="8" max="8" width="11.421875" style="0" bestFit="1" customWidth="1"/>
    <col min="9" max="10" width="11.421875" style="0" customWidth="1"/>
    <col min="11" max="11" width="8.8515625" style="0" customWidth="1"/>
    <col min="12" max="12" width="9.421875" style="0" bestFit="1" customWidth="1"/>
    <col min="13" max="15" width="8.8515625" style="0" customWidth="1"/>
    <col min="16" max="16" width="9.421875" style="0" bestFit="1" customWidth="1"/>
  </cols>
  <sheetData>
    <row r="1" ht="12.75" thickBot="1">
      <c r="A1" s="19" t="s">
        <v>145</v>
      </c>
    </row>
    <row r="2" spans="1:12" ht="25.5" customHeight="1" thickBot="1">
      <c r="A2" s="26"/>
      <c r="B2" s="27" t="s">
        <v>44</v>
      </c>
      <c r="C2" s="27" t="s">
        <v>149</v>
      </c>
      <c r="D2" s="27" t="s">
        <v>31</v>
      </c>
      <c r="E2" s="35" t="s">
        <v>153</v>
      </c>
      <c r="F2" s="38" t="s">
        <v>159</v>
      </c>
      <c r="G2" s="28" t="s">
        <v>158</v>
      </c>
      <c r="I2" s="131" t="s">
        <v>154</v>
      </c>
      <c r="J2" s="132"/>
      <c r="L2" s="39" t="s">
        <v>16</v>
      </c>
    </row>
    <row r="3" spans="1:12" ht="12.75" thickBot="1">
      <c r="A3" s="29"/>
      <c r="B3" s="25" t="s">
        <v>151</v>
      </c>
      <c r="C3" s="4" t="s">
        <v>152</v>
      </c>
      <c r="D3" s="4" t="s">
        <v>150</v>
      </c>
      <c r="E3" s="36" t="s">
        <v>150</v>
      </c>
      <c r="F3" s="23" t="s">
        <v>23</v>
      </c>
      <c r="G3" s="17" t="s">
        <v>157</v>
      </c>
      <c r="I3" s="33" t="s">
        <v>155</v>
      </c>
      <c r="J3" s="67">
        <v>1.13</v>
      </c>
      <c r="L3" s="29">
        <f>2.5*0.15</f>
        <v>0.375</v>
      </c>
    </row>
    <row r="4" spans="1:10" ht="12.75" thickBot="1">
      <c r="A4" s="30" t="s">
        <v>146</v>
      </c>
      <c r="B4" s="10">
        <v>1</v>
      </c>
      <c r="C4" s="10">
        <v>1</v>
      </c>
      <c r="D4" s="2">
        <v>54000</v>
      </c>
      <c r="E4" s="37">
        <f>C4*D4</f>
        <v>54000</v>
      </c>
      <c r="F4" s="16">
        <v>0</v>
      </c>
      <c r="G4" s="24">
        <v>2.5</v>
      </c>
      <c r="I4" s="34" t="s">
        <v>156</v>
      </c>
      <c r="J4" s="66">
        <v>0.72</v>
      </c>
    </row>
    <row r="5" spans="1:7" ht="12">
      <c r="A5" s="30" t="s">
        <v>147</v>
      </c>
      <c r="B5" s="10">
        <v>1</v>
      </c>
      <c r="C5" s="9">
        <v>0.9</v>
      </c>
      <c r="D5" s="2">
        <f>2*D4</f>
        <v>108000</v>
      </c>
      <c r="E5" s="37">
        <f>C5*D5</f>
        <v>97200</v>
      </c>
      <c r="F5" s="16">
        <v>0.1</v>
      </c>
      <c r="G5" s="24">
        <v>2.5</v>
      </c>
    </row>
    <row r="6" spans="1:7" ht="12.75" thickBot="1">
      <c r="A6" s="29" t="s">
        <v>148</v>
      </c>
      <c r="B6" s="31">
        <v>1</v>
      </c>
      <c r="C6" s="32">
        <v>0.85</v>
      </c>
      <c r="D6" s="4">
        <f>D4*4</f>
        <v>216000</v>
      </c>
      <c r="E6" s="36">
        <f>C6*D6</f>
        <v>183600</v>
      </c>
      <c r="F6" s="23">
        <f>F5*3</f>
        <v>0.30000000000000004</v>
      </c>
      <c r="G6" s="17">
        <v>2.5</v>
      </c>
    </row>
    <row r="7" ht="12">
      <c r="A7" s="47" t="s">
        <v>32</v>
      </c>
    </row>
    <row r="10" spans="1:3" ht="12.75" thickBot="1">
      <c r="A10" s="135" t="s">
        <v>11</v>
      </c>
      <c r="B10" s="135"/>
      <c r="C10" s="135"/>
    </row>
    <row r="11" spans="1:16" ht="12">
      <c r="A11" s="133"/>
      <c r="B11" s="48" t="s">
        <v>141</v>
      </c>
      <c r="C11" s="43" t="s">
        <v>143</v>
      </c>
      <c r="E11" s="50" t="s">
        <v>22</v>
      </c>
      <c r="F11" s="48" t="s">
        <v>20</v>
      </c>
      <c r="G11" s="51" t="s">
        <v>21</v>
      </c>
      <c r="H11" s="52" t="s">
        <v>33</v>
      </c>
      <c r="I11" s="50" t="s">
        <v>26</v>
      </c>
      <c r="J11" s="48" t="s">
        <v>25</v>
      </c>
      <c r="K11" s="51" t="s">
        <v>27</v>
      </c>
      <c r="L11" s="52" t="s">
        <v>33</v>
      </c>
      <c r="M11" s="59" t="s">
        <v>28</v>
      </c>
      <c r="N11" s="51" t="s">
        <v>29</v>
      </c>
      <c r="O11" s="51" t="s">
        <v>30</v>
      </c>
      <c r="P11" s="52" t="s">
        <v>33</v>
      </c>
    </row>
    <row r="12" spans="1:16" ht="12">
      <c r="A12" s="134"/>
      <c r="B12" s="15" t="s">
        <v>142</v>
      </c>
      <c r="C12" s="44" t="s">
        <v>144</v>
      </c>
      <c r="E12" s="53" t="s">
        <v>23</v>
      </c>
      <c r="F12" s="15" t="s">
        <v>17</v>
      </c>
      <c r="G12" s="15" t="s">
        <v>24</v>
      </c>
      <c r="H12" s="54" t="s">
        <v>34</v>
      </c>
      <c r="I12" s="53" t="s">
        <v>23</v>
      </c>
      <c r="J12" s="15" t="s">
        <v>17</v>
      </c>
      <c r="K12" s="15" t="s">
        <v>24</v>
      </c>
      <c r="L12" s="54" t="s">
        <v>34</v>
      </c>
      <c r="M12" s="53" t="s">
        <v>17</v>
      </c>
      <c r="N12" s="15" t="s">
        <v>24</v>
      </c>
      <c r="O12" s="1"/>
      <c r="P12" s="54" t="s">
        <v>34</v>
      </c>
    </row>
    <row r="13" spans="1:16" ht="12.75" thickBot="1">
      <c r="A13" s="65" t="s">
        <v>35</v>
      </c>
      <c r="B13" s="37">
        <v>0</v>
      </c>
      <c r="C13" s="24">
        <v>0</v>
      </c>
      <c r="E13" s="55">
        <f>IF((0.424*'Material Properties'!$C$8+0.374*'Colombia Calc'!$F$4)&gt;'Material Properties'!$C$8,'Material Properties'!$C$8,(0.424*'Material Properties'!$C$8+0.374*'Colombia Calc'!$F$4))</f>
        <v>0.3816</v>
      </c>
      <c r="F13" s="56">
        <f>$L$3*E13*1000</f>
        <v>143.1</v>
      </c>
      <c r="G13" s="57">
        <f>($J$3*E13/SQRT('Material Properties'!$D$8))/100</f>
        <v>0.001195955811069443</v>
      </c>
      <c r="H13" s="63">
        <f>F13/(G13*$G$4)</f>
        <v>47861.30011677862</v>
      </c>
      <c r="I13" s="55">
        <f>IF((0.21*'Material Properties'!$C$8+0.363*$F$4+0.0141*SQRT('Material Properties'!$E$8*'Material Properties'!$F$8))&lt;E13,E13,(0.21*'Material Properties'!$C$8+0.363*$F$4+0.0141*SQRT('Material Properties'!$E$8*'Material Properties'!$F$8)))</f>
        <v>0.3816</v>
      </c>
      <c r="J13" s="56">
        <f>$L$3*I13*1000</f>
        <v>143.1</v>
      </c>
      <c r="K13" s="58">
        <f>0.65*N13</f>
        <v>0.003679786631314311</v>
      </c>
      <c r="L13" s="63">
        <f>J13/(K13*$G$4)</f>
        <v>15555.249729127789</v>
      </c>
      <c r="M13" s="60">
        <f>0.8*J13</f>
        <v>114.48</v>
      </c>
      <c r="N13" s="58">
        <f>O13*$J$3*I13/SQRT('Material Properties'!$D$8)/100</f>
        <v>0.005661210202022017</v>
      </c>
      <c r="O13" s="61">
        <f>IF(((0.5/(I13^2))+1.3)&gt;6,6,((0.5/(I13^2))+1.3))</f>
        <v>4.733628240795679</v>
      </c>
      <c r="P13" s="63">
        <f>M13/(N13*$G$4)</f>
        <v>8088.729859146451</v>
      </c>
    </row>
    <row r="14" spans="1:17" ht="12">
      <c r="A14" s="45" t="s">
        <v>137</v>
      </c>
      <c r="B14" s="42">
        <f>$B$4*$G$4*$G13*39.37</f>
        <v>0.11771195070450992</v>
      </c>
      <c r="C14" s="64">
        <f>(B14/39.37)*(H13/$E$4)*(1000/9.81)</f>
        <v>0.2701325178389398</v>
      </c>
      <c r="G14" s="100" t="s">
        <v>2</v>
      </c>
      <c r="H14" s="101">
        <f>2*PI()*SQRT($E$4/H13/1000)</f>
        <v>0.2110495849494103</v>
      </c>
      <c r="I14" s="102"/>
      <c r="J14" s="102"/>
      <c r="K14" s="102"/>
      <c r="L14" s="101">
        <f>2*PI()*SQRT($E$4/L13/1000)</f>
        <v>0.3702015684068664</v>
      </c>
      <c r="M14" s="102"/>
      <c r="N14" s="102"/>
      <c r="O14" s="102"/>
      <c r="P14" s="101">
        <f>2*PI()*SQRT($E$4/P13/1000)</f>
        <v>0.513377206595441</v>
      </c>
      <c r="Q14" s="99"/>
    </row>
    <row r="15" spans="1:3" ht="12">
      <c r="A15" s="45" t="s">
        <v>138</v>
      </c>
      <c r="B15" s="42">
        <f>$B$4*$G$4*$K13*39.37</f>
        <v>0.36218299918711105</v>
      </c>
      <c r="C15" s="64">
        <f>(B15/39.37)*(L13/$E$4)*(1000/9.81)</f>
        <v>0.2701325178389398</v>
      </c>
    </row>
    <row r="16" spans="1:3" ht="12.75" thickBot="1">
      <c r="A16" s="46" t="s">
        <v>139</v>
      </c>
      <c r="B16" s="49">
        <f>$B$4*$G$4*$N13*39.37</f>
        <v>0.557204614134017</v>
      </c>
      <c r="C16" s="62">
        <f>(B16/39.37)*(P13/$E$4)*(1000/9.81)</f>
        <v>0.21610601427115192</v>
      </c>
    </row>
    <row r="19" spans="1:3" ht="12.75" thickBot="1">
      <c r="A19" s="135" t="s">
        <v>12</v>
      </c>
      <c r="B19" s="135"/>
      <c r="C19" s="135"/>
    </row>
    <row r="20" spans="1:16" ht="12">
      <c r="A20" s="133"/>
      <c r="B20" s="48" t="s">
        <v>141</v>
      </c>
      <c r="C20" s="43" t="s">
        <v>143</v>
      </c>
      <c r="E20" s="50" t="s">
        <v>22</v>
      </c>
      <c r="F20" s="48" t="s">
        <v>20</v>
      </c>
      <c r="G20" s="51" t="s">
        <v>21</v>
      </c>
      <c r="H20" s="52" t="s">
        <v>33</v>
      </c>
      <c r="I20" s="50" t="s">
        <v>26</v>
      </c>
      <c r="J20" s="48" t="s">
        <v>25</v>
      </c>
      <c r="K20" s="51" t="s">
        <v>27</v>
      </c>
      <c r="L20" s="52" t="s">
        <v>33</v>
      </c>
      <c r="M20" s="59" t="s">
        <v>28</v>
      </c>
      <c r="N20" s="51" t="s">
        <v>29</v>
      </c>
      <c r="O20" s="51" t="s">
        <v>30</v>
      </c>
      <c r="P20" s="52" t="s">
        <v>33</v>
      </c>
    </row>
    <row r="21" spans="1:16" ht="12">
      <c r="A21" s="134"/>
      <c r="B21" s="15" t="s">
        <v>142</v>
      </c>
      <c r="C21" s="44" t="s">
        <v>144</v>
      </c>
      <c r="E21" s="53" t="s">
        <v>23</v>
      </c>
      <c r="F21" s="15" t="s">
        <v>17</v>
      </c>
      <c r="G21" s="15" t="s">
        <v>24</v>
      </c>
      <c r="H21" s="54" t="s">
        <v>34</v>
      </c>
      <c r="I21" s="53" t="s">
        <v>23</v>
      </c>
      <c r="J21" s="15" t="s">
        <v>17</v>
      </c>
      <c r="K21" s="15" t="s">
        <v>24</v>
      </c>
      <c r="L21" s="54" t="s">
        <v>34</v>
      </c>
      <c r="M21" s="53" t="s">
        <v>17</v>
      </c>
      <c r="N21" s="15" t="s">
        <v>24</v>
      </c>
      <c r="O21" s="1"/>
      <c r="P21" s="54" t="s">
        <v>34</v>
      </c>
    </row>
    <row r="22" spans="1:16" ht="12.75" thickBot="1">
      <c r="A22" s="65" t="s">
        <v>35</v>
      </c>
      <c r="B22" s="37">
        <v>0</v>
      </c>
      <c r="C22" s="24">
        <v>0</v>
      </c>
      <c r="E22" s="55">
        <f>IF((0.424*'Material Properties'!$C$8+0.374*'Colombia Calc'!$F$5)&gt;'Material Properties'!$C$8,'Material Properties'!$C$8,(0.424*'Material Properties'!$C$8+0.374*'Colombia Calc'!$F$5))</f>
        <v>0.419</v>
      </c>
      <c r="F22" s="56">
        <f>$L$3*E22*1000</f>
        <v>157.125</v>
      </c>
      <c r="G22" s="57">
        <f>($J$3*E22/SQRT('Material Properties'!$D$8))/100</f>
        <v>0.0013131695095337961</v>
      </c>
      <c r="H22" s="63">
        <f>F22/(G22*$G$5)</f>
        <v>47861.30011677862</v>
      </c>
      <c r="I22" s="55">
        <f>IF((0.21*'Material Properties'!$C$8+0.363*$F$5+0.0141*SQRT('Material Properties'!$E$8*'Material Properties'!$F$8))&lt;E22,E22,(0.21*'Material Properties'!$C$8+0.363*$F$5+0.0141*SQRT('Material Properties'!$E$8*'Material Properties'!$F$8)))</f>
        <v>0.419</v>
      </c>
      <c r="J22" s="56">
        <f>$L$3*I22*1000</f>
        <v>157.125</v>
      </c>
      <c r="K22" s="58">
        <f>0.65*N22</f>
        <v>0.0035405786778438305</v>
      </c>
      <c r="L22" s="63">
        <f>J22/(K22*$G$6)</f>
        <v>17751.335507187454</v>
      </c>
      <c r="M22" s="60">
        <f>0.8*J22</f>
        <v>125.7</v>
      </c>
      <c r="N22" s="58">
        <f>O22*$J$3*I22/SQRT('Material Properties'!$D$8)/100</f>
        <v>0.005447044119759739</v>
      </c>
      <c r="O22" s="61">
        <f>IF(((0.5/(I22^2))+1.3)&gt;6,6,((0.5/(I22^2))+1.3))</f>
        <v>4.148012941370806</v>
      </c>
      <c r="P22" s="63">
        <f>M22/(N22*$G$5)</f>
        <v>9230.694463737476</v>
      </c>
    </row>
    <row r="23" spans="1:16" ht="12">
      <c r="A23" s="45" t="s">
        <v>137</v>
      </c>
      <c r="B23" s="42">
        <f>$B$5*$G$5*$G22*39.37</f>
        <v>0.12924870897586388</v>
      </c>
      <c r="C23" s="64">
        <f>(B23/39.37)*(H22/$E$5)*(1000/9.81)</f>
        <v>0.16478209436075558</v>
      </c>
      <c r="G23" s="100" t="s">
        <v>2</v>
      </c>
      <c r="H23" s="101">
        <f>2*PI()*SQRT($E$5/H22/1000)</f>
        <v>0.28315273114199885</v>
      </c>
      <c r="I23" s="101"/>
      <c r="J23" s="101"/>
      <c r="K23" s="101"/>
      <c r="L23" s="101">
        <f>2*PI()*SQRT($E$5/L22/1000)</f>
        <v>0.46494061379717566</v>
      </c>
      <c r="M23" s="101"/>
      <c r="N23" s="101"/>
      <c r="O23" s="101"/>
      <c r="P23" s="101">
        <f>2*PI()*SQRT($E$5/P22/1000)</f>
        <v>0.6447566242659296</v>
      </c>
    </row>
    <row r="24" spans="1:3" ht="12">
      <c r="A24" s="45" t="s">
        <v>138</v>
      </c>
      <c r="B24" s="42">
        <f>$B$5*$G$5*$K22*39.37</f>
        <v>0.348481456366779</v>
      </c>
      <c r="C24" s="64">
        <f>(B24/39.37)*(L22/$E$5)*(1000/9.81)</f>
        <v>0.1647820943607556</v>
      </c>
    </row>
    <row r="25" spans="1:3" ht="12.75" thickBot="1">
      <c r="A25" s="46" t="s">
        <v>139</v>
      </c>
      <c r="B25" s="49">
        <f>$B$5*$G$5*$N22*39.37</f>
        <v>0.5361253174873523</v>
      </c>
      <c r="C25" s="62">
        <f>(B25/39.37)*(P22/$E$5)*(1000/9.81)</f>
        <v>0.1318256754886045</v>
      </c>
    </row>
    <row r="28" spans="1:3" ht="12.75" thickBot="1">
      <c r="A28" s="135" t="s">
        <v>13</v>
      </c>
      <c r="B28" s="135"/>
      <c r="C28" s="135"/>
    </row>
    <row r="29" spans="1:16" ht="12">
      <c r="A29" s="133"/>
      <c r="B29" s="48" t="s">
        <v>141</v>
      </c>
      <c r="C29" s="43" t="s">
        <v>143</v>
      </c>
      <c r="E29" s="50" t="s">
        <v>22</v>
      </c>
      <c r="F29" s="48" t="s">
        <v>20</v>
      </c>
      <c r="G29" s="51" t="s">
        <v>21</v>
      </c>
      <c r="H29" s="52" t="s">
        <v>33</v>
      </c>
      <c r="I29" s="50" t="s">
        <v>26</v>
      </c>
      <c r="J29" s="48" t="s">
        <v>25</v>
      </c>
      <c r="K29" s="51" t="s">
        <v>27</v>
      </c>
      <c r="L29" s="52" t="s">
        <v>33</v>
      </c>
      <c r="M29" s="59" t="s">
        <v>28</v>
      </c>
      <c r="N29" s="51" t="s">
        <v>29</v>
      </c>
      <c r="O29" s="51" t="s">
        <v>30</v>
      </c>
      <c r="P29" s="52" t="s">
        <v>33</v>
      </c>
    </row>
    <row r="30" spans="1:16" ht="12">
      <c r="A30" s="134"/>
      <c r="B30" s="15" t="s">
        <v>142</v>
      </c>
      <c r="C30" s="44" t="s">
        <v>144</v>
      </c>
      <c r="E30" s="53" t="s">
        <v>23</v>
      </c>
      <c r="F30" s="15" t="s">
        <v>17</v>
      </c>
      <c r="G30" s="15" t="s">
        <v>24</v>
      </c>
      <c r="H30" s="54" t="s">
        <v>34</v>
      </c>
      <c r="I30" s="53" t="s">
        <v>23</v>
      </c>
      <c r="J30" s="15" t="s">
        <v>17</v>
      </c>
      <c r="K30" s="15" t="s">
        <v>24</v>
      </c>
      <c r="L30" s="54" t="s">
        <v>34</v>
      </c>
      <c r="M30" s="53" t="s">
        <v>17</v>
      </c>
      <c r="N30" s="15" t="s">
        <v>24</v>
      </c>
      <c r="O30" s="1"/>
      <c r="P30" s="54" t="s">
        <v>34</v>
      </c>
    </row>
    <row r="31" spans="1:16" ht="12.75" thickBot="1">
      <c r="A31" s="65" t="s">
        <v>35</v>
      </c>
      <c r="B31" s="37">
        <v>0</v>
      </c>
      <c r="C31" s="24">
        <v>0</v>
      </c>
      <c r="E31" s="55">
        <f>IF((0.424*'Material Properties'!$C$8+0.374*'Colombia Calc'!$F$6)&gt;'Material Properties'!$C$8,'Material Properties'!$C$8,(0.424*'Material Properties'!$C$8+0.374*'Colombia Calc'!$F$6))</f>
        <v>0.4938</v>
      </c>
      <c r="F31" s="56">
        <f>$L$3*E31*1000</f>
        <v>185.175</v>
      </c>
      <c r="G31" s="57">
        <f>($J$3*E31/SQRT('Material Properties'!$D$8))/100</f>
        <v>0.0015475969064625025</v>
      </c>
      <c r="H31" s="63">
        <f>F31/(G31*$G$6)</f>
        <v>47861.30011677862</v>
      </c>
      <c r="I31" s="55">
        <f>IF((0.21*'Material Properties'!$C$8+0.363*$F$6+0.0141*SQRT('Material Properties'!$E$8*'Material Properties'!$F$8))&lt;E31,E31,(0.21*'Material Properties'!$C$8+0.363*$F$6+0.0141*SQRT('Material Properties'!$E$8*'Material Properties'!$F$8)))</f>
        <v>0.4938</v>
      </c>
      <c r="J31" s="56">
        <f>$L$3*I31*1000</f>
        <v>185.175</v>
      </c>
      <c r="K31" s="58">
        <f>0.65*N31</f>
        <v>0.003370433511757852</v>
      </c>
      <c r="L31" s="63">
        <f>J31/(K31*$G$6)</f>
        <v>21976.401475241903</v>
      </c>
      <c r="M31" s="60">
        <f>0.8*J31</f>
        <v>148.14000000000001</v>
      </c>
      <c r="N31" s="58">
        <f>O31*$J$3*I31/SQRT('Material Properties'!$D$8)/100</f>
        <v>0.005185282325781311</v>
      </c>
      <c r="O31" s="61">
        <f>IF(((0.5/(I31^2))+1.3)&gt;6,6,((0.5/(I31^2))+1.3))</f>
        <v>3.3505380529829507</v>
      </c>
      <c r="P31" s="63">
        <f>M31/(N31*$G$6)</f>
        <v>11427.72876712579</v>
      </c>
    </row>
    <row r="32" spans="1:16" ht="12">
      <c r="A32" s="45" t="s">
        <v>137</v>
      </c>
      <c r="B32" s="42">
        <f>$B$6*$G$6*$G31*39.37</f>
        <v>0.1523222255185718</v>
      </c>
      <c r="C32" s="64">
        <f>(B32/39.37)*(H31/$E$6)*(1000/9.81)</f>
        <v>0.1028112570206472</v>
      </c>
      <c r="G32" s="100" t="s">
        <v>2</v>
      </c>
      <c r="H32" s="101">
        <f>2*PI()*SQRT($E$6/H31/1000)</f>
        <v>0.3891562062268601</v>
      </c>
      <c r="I32" s="101"/>
      <c r="J32" s="101"/>
      <c r="K32" s="101"/>
      <c r="L32" s="101">
        <f>2*PI()*SQRT($E$6/L31/1000)</f>
        <v>0.5742988102860558</v>
      </c>
      <c r="M32" s="101"/>
      <c r="N32" s="101"/>
      <c r="O32" s="101"/>
      <c r="P32" s="101">
        <f>2*PI()*SQRT($E$6/P31/1000)</f>
        <v>0.7964091568939767</v>
      </c>
    </row>
    <row r="33" spans="1:3" ht="12">
      <c r="A33" s="45" t="s">
        <v>138</v>
      </c>
      <c r="B33" s="42">
        <f>$B$6*$G$6*$K31*39.37</f>
        <v>0.33173491839476654</v>
      </c>
      <c r="C33" s="64">
        <f>(B33/39.37)*(L31/$E$6)*(1000/9.81)</f>
        <v>0.1028112570206472</v>
      </c>
    </row>
    <row r="34" spans="1:3" ht="12.75" thickBot="1">
      <c r="A34" s="46" t="s">
        <v>139</v>
      </c>
      <c r="B34" s="49">
        <f>$B$6*$G$6*$N31*39.37</f>
        <v>0.5103614129150255</v>
      </c>
      <c r="C34" s="62">
        <f>(B34/39.37)*(P31/$E$6)*(1000/9.81)</f>
        <v>0.08224900561651775</v>
      </c>
    </row>
    <row r="38" spans="1:3" ht="12.75" thickBot="1">
      <c r="A38" s="136" t="s">
        <v>14</v>
      </c>
      <c r="B38" s="136"/>
      <c r="C38" s="136"/>
    </row>
    <row r="39" spans="1:16" ht="12">
      <c r="A39" s="133"/>
      <c r="B39" s="48" t="s">
        <v>141</v>
      </c>
      <c r="C39" s="43" t="s">
        <v>143</v>
      </c>
      <c r="E39" s="50" t="s">
        <v>22</v>
      </c>
      <c r="F39" s="48" t="s">
        <v>20</v>
      </c>
      <c r="G39" s="51" t="s">
        <v>21</v>
      </c>
      <c r="H39" s="52" t="s">
        <v>33</v>
      </c>
      <c r="I39" s="50" t="s">
        <v>26</v>
      </c>
      <c r="J39" s="48" t="s">
        <v>25</v>
      </c>
      <c r="K39" s="51" t="s">
        <v>27</v>
      </c>
      <c r="L39" s="52" t="s">
        <v>33</v>
      </c>
      <c r="M39" s="59" t="s">
        <v>28</v>
      </c>
      <c r="N39" s="51" t="s">
        <v>29</v>
      </c>
      <c r="O39" s="51" t="s">
        <v>30</v>
      </c>
      <c r="P39" s="52" t="s">
        <v>33</v>
      </c>
    </row>
    <row r="40" spans="1:16" ht="12">
      <c r="A40" s="134"/>
      <c r="B40" s="15" t="s">
        <v>142</v>
      </c>
      <c r="C40" s="44" t="s">
        <v>144</v>
      </c>
      <c r="E40" s="53" t="s">
        <v>23</v>
      </c>
      <c r="F40" s="15" t="s">
        <v>17</v>
      </c>
      <c r="G40" s="15" t="s">
        <v>24</v>
      </c>
      <c r="H40" s="54" t="s">
        <v>34</v>
      </c>
      <c r="I40" s="53" t="s">
        <v>23</v>
      </c>
      <c r="J40" s="15" t="s">
        <v>17</v>
      </c>
      <c r="K40" s="15" t="s">
        <v>24</v>
      </c>
      <c r="L40" s="54" t="s">
        <v>34</v>
      </c>
      <c r="M40" s="53" t="s">
        <v>17</v>
      </c>
      <c r="N40" s="15" t="s">
        <v>24</v>
      </c>
      <c r="O40" s="1"/>
      <c r="P40" s="54" t="s">
        <v>34</v>
      </c>
    </row>
    <row r="41" spans="1:16" ht="12.75" thickBot="1">
      <c r="A41" s="65" t="s">
        <v>35</v>
      </c>
      <c r="B41" s="37">
        <v>0</v>
      </c>
      <c r="C41" s="24">
        <v>0</v>
      </c>
      <c r="E41" s="55">
        <f>IF((0.424*'Material Properties'!$C$9+0.374*'Colombia Calc'!$F$4)&gt;'Material Properties'!$C$9,'Material Properties'!$C$9,(0.424*'Material Properties'!$C$9+0.374*'Colombia Calc'!$F$4))</f>
        <v>0.27984</v>
      </c>
      <c r="F41" s="56">
        <f>$L$3*E41*1000</f>
        <v>104.94</v>
      </c>
      <c r="G41" s="57">
        <f>($J$4*E41/SQRT('Material Properties'!$D$9))/100</f>
        <v>0.0007123563419300763</v>
      </c>
      <c r="H41" s="63">
        <f>F41/(G41*$G$4)</f>
        <v>58925.56509887897</v>
      </c>
      <c r="I41" s="55">
        <f>IF((0.21*'Material Properties'!$C$9+0.363*$F$4+0.0141*SQRT('Material Properties'!$E$8*'Material Properties'!$F$8))&lt;E41,E41,(0.21*'Material Properties'!$C$9+0.363*$F$4+0.0141*SQRT('Material Properties'!$E$8*'Material Properties'!$F$8)))</f>
        <v>0.27984</v>
      </c>
      <c r="J41" s="56">
        <f>$L$3*I41*1000</f>
        <v>104.94</v>
      </c>
      <c r="K41" s="58">
        <f>0.65*N41</f>
        <v>0.002778189733527298</v>
      </c>
      <c r="L41" s="63">
        <f>J41/(K41*$G$4)</f>
        <v>15109.11925612281</v>
      </c>
      <c r="M41" s="60">
        <f>0.8*J41</f>
        <v>83.952</v>
      </c>
      <c r="N41" s="58">
        <f>O41*$J$4*I41/SQRT('Material Properties'!$D$9)/100</f>
        <v>0.004274138051580458</v>
      </c>
      <c r="O41" s="61">
        <f>IF(((0.5/(I41^2))+1.3)&gt;6,6,((0.5/(I41^2))+1.3))</f>
        <v>6</v>
      </c>
      <c r="P41" s="63">
        <f>M41/(N41*$G$4)</f>
        <v>7856.742013183863</v>
      </c>
    </row>
    <row r="42" spans="1:16" ht="12">
      <c r="A42" s="45" t="s">
        <v>137</v>
      </c>
      <c r="B42" s="42">
        <f>$B$4*$G$4*$G41*39.37</f>
        <v>0.07011367295446776</v>
      </c>
      <c r="C42" s="64">
        <f>(B42/39.37)*(H41/$E$4)*(1000/9.81)</f>
        <v>0.1980971797485559</v>
      </c>
      <c r="G42" s="100" t="s">
        <v>2</v>
      </c>
      <c r="H42" s="101">
        <f>2*PI()*SQRT($E$4/H41/1000)</f>
        <v>0.19020628804255643</v>
      </c>
      <c r="I42" s="102"/>
      <c r="J42" s="102"/>
      <c r="K42" s="102"/>
      <c r="L42" s="101">
        <f>2*PI()*SQRT($E$4/L41/1000)</f>
        <v>0.37562732174672675</v>
      </c>
      <c r="M42" s="102"/>
      <c r="N42" s="102"/>
      <c r="O42" s="102"/>
      <c r="P42" s="101">
        <f>2*PI()*SQRT($E$4/P41/1000)</f>
        <v>0.5209013727011664</v>
      </c>
    </row>
    <row r="43" spans="1:3" ht="12">
      <c r="A43" s="45" t="s">
        <v>138</v>
      </c>
      <c r="B43" s="42">
        <f>$B$4*$G$4*$K41*39.37</f>
        <v>0.27344332452242426</v>
      </c>
      <c r="C43" s="64">
        <f>(B43/39.37)*(L41/$E$4)*(1000/9.81)</f>
        <v>0.19809717974855587</v>
      </c>
    </row>
    <row r="44" spans="1:3" ht="12.75" thickBot="1">
      <c r="A44" s="46" t="s">
        <v>139</v>
      </c>
      <c r="B44" s="49">
        <f>$B$4*$G$4*$N41*39.37</f>
        <v>0.42068203772680657</v>
      </c>
      <c r="C44" s="62">
        <f>(B44/39.37)*(P41/$E$4)*(1000/9.81)</f>
        <v>0.15847774379884472</v>
      </c>
    </row>
    <row r="47" spans="1:3" ht="12.75" thickBot="1">
      <c r="A47" s="136" t="s">
        <v>9</v>
      </c>
      <c r="B47" s="136"/>
      <c r="C47" s="136"/>
    </row>
    <row r="48" spans="1:16" ht="12">
      <c r="A48" s="133"/>
      <c r="B48" s="48" t="s">
        <v>141</v>
      </c>
      <c r="C48" s="43" t="s">
        <v>143</v>
      </c>
      <c r="E48" s="50" t="s">
        <v>22</v>
      </c>
      <c r="F48" s="48" t="s">
        <v>20</v>
      </c>
      <c r="G48" s="51" t="s">
        <v>21</v>
      </c>
      <c r="H48" s="52" t="s">
        <v>33</v>
      </c>
      <c r="I48" s="50" t="s">
        <v>26</v>
      </c>
      <c r="J48" s="48" t="s">
        <v>25</v>
      </c>
      <c r="K48" s="51" t="s">
        <v>27</v>
      </c>
      <c r="L48" s="52" t="s">
        <v>33</v>
      </c>
      <c r="M48" s="59" t="s">
        <v>28</v>
      </c>
      <c r="N48" s="51" t="s">
        <v>29</v>
      </c>
      <c r="O48" s="51" t="s">
        <v>30</v>
      </c>
      <c r="P48" s="52" t="s">
        <v>33</v>
      </c>
    </row>
    <row r="49" spans="1:16" ht="12">
      <c r="A49" s="134"/>
      <c r="B49" s="15" t="s">
        <v>142</v>
      </c>
      <c r="C49" s="44" t="s">
        <v>144</v>
      </c>
      <c r="E49" s="53" t="s">
        <v>23</v>
      </c>
      <c r="F49" s="15" t="s">
        <v>17</v>
      </c>
      <c r="G49" s="15" t="s">
        <v>24</v>
      </c>
      <c r="H49" s="54" t="s">
        <v>34</v>
      </c>
      <c r="I49" s="53" t="s">
        <v>23</v>
      </c>
      <c r="J49" s="15" t="s">
        <v>17</v>
      </c>
      <c r="K49" s="15" t="s">
        <v>24</v>
      </c>
      <c r="L49" s="54" t="s">
        <v>34</v>
      </c>
      <c r="M49" s="53" t="s">
        <v>17</v>
      </c>
      <c r="N49" s="15" t="s">
        <v>24</v>
      </c>
      <c r="O49" s="1"/>
      <c r="P49" s="54" t="s">
        <v>34</v>
      </c>
    </row>
    <row r="50" spans="1:16" ht="12.75" thickBot="1">
      <c r="A50" s="65" t="s">
        <v>35</v>
      </c>
      <c r="B50" s="37">
        <v>0</v>
      </c>
      <c r="C50" s="24">
        <v>0</v>
      </c>
      <c r="E50" s="55">
        <f>IF((0.424*'Material Properties'!$C$9+0.374*'Colombia Calc'!$F$5)&gt;'Material Properties'!$C$9,'Material Properties'!$C$9,(0.424*'Material Properties'!$C$9+0.374*'Colombia Calc'!$F$5))</f>
        <v>0.31723999999999997</v>
      </c>
      <c r="F50" s="56">
        <f>$L$3*E50*1000</f>
        <v>118.96499999999999</v>
      </c>
      <c r="G50" s="57">
        <f>($J$4*E50/SQRT('Material Properties'!$D$9))/100</f>
        <v>0.0008075611989490331</v>
      </c>
      <c r="H50" s="63">
        <f>F50/(G50*$G$5)</f>
        <v>58925.56509887897</v>
      </c>
      <c r="I50" s="55">
        <f>IF((0.21*'Material Properties'!$C$9+0.363*$F$5+0.0141*SQRT('Material Properties'!$E$8*'Material Properties'!$F$8))&lt;E50,E50,(0.21*'Material Properties'!$C$9+0.363*$F$5+0.0141*SQRT('Material Properties'!$E$8*'Material Properties'!$F$8)))</f>
        <v>0.31723999999999997</v>
      </c>
      <c r="J50" s="56">
        <f>$L$3*I50*1000</f>
        <v>118.96499999999999</v>
      </c>
      <c r="K50" s="58">
        <f>0.65*N50</f>
        <v>0.0031494886759012297</v>
      </c>
      <c r="L50" s="63">
        <f>J50/(K50*$G$6)</f>
        <v>15109.119256122807</v>
      </c>
      <c r="M50" s="60">
        <f>0.8*J50</f>
        <v>95.172</v>
      </c>
      <c r="N50" s="58">
        <f>O50*$J$4*I50/SQRT('Material Properties'!$D$9)/100</f>
        <v>0.004845367193694199</v>
      </c>
      <c r="O50" s="61">
        <f>IF(((0.5/(I50^2))+1.3)&gt;6,6,((0.5/(I50^2))+1.3))</f>
        <v>6</v>
      </c>
      <c r="P50" s="63">
        <f>M50/(N50*$G$5)</f>
        <v>7856.742013183861</v>
      </c>
    </row>
    <row r="51" spans="1:16" ht="12">
      <c r="A51" s="45" t="s">
        <v>137</v>
      </c>
      <c r="B51" s="42">
        <f>$B$5*$G$5*$G50*39.37</f>
        <v>0.07948421100655857</v>
      </c>
      <c r="C51" s="64">
        <f>(B51/39.37)*(H50/$E$5)*(1000/9.81)</f>
        <v>0.12476246208832004</v>
      </c>
      <c r="G51" s="100" t="s">
        <v>2</v>
      </c>
      <c r="H51" s="101">
        <f>2*PI()*SQRT($E$5/H50/1000)</f>
        <v>0.25518851388663694</v>
      </c>
      <c r="I51" s="99"/>
      <c r="J51" s="99"/>
      <c r="K51" s="99"/>
      <c r="L51" s="101">
        <f>2*PI()*SQRT($E$5/L50/1000)</f>
        <v>0.5039569353791197</v>
      </c>
      <c r="M51" s="99"/>
      <c r="N51" s="99"/>
      <c r="O51" s="99"/>
      <c r="P51" s="101">
        <f>2*PI()*SQRT($E$5/P50/1000)</f>
        <v>0.698862527359657</v>
      </c>
    </row>
    <row r="52" spans="1:3" ht="12">
      <c r="A52" s="45" t="s">
        <v>138</v>
      </c>
      <c r="B52" s="42">
        <f>$B$5*$G$5*$K50*39.37</f>
        <v>0.3099884229255785</v>
      </c>
      <c r="C52" s="64">
        <f>(B52/39.37)*(L50/$E$5)*(1000/9.81)</f>
        <v>0.12476246208832004</v>
      </c>
    </row>
    <row r="53" spans="1:3" ht="12.75" thickBot="1">
      <c r="A53" s="46" t="s">
        <v>139</v>
      </c>
      <c r="B53" s="49">
        <f>$B$5*$G$5*$N50*39.37</f>
        <v>0.4769052660393515</v>
      </c>
      <c r="C53" s="62">
        <f>(B53/39.37)*(P50/$E$5)*(1000/9.81)</f>
        <v>0.09980996967065603</v>
      </c>
    </row>
    <row r="56" spans="1:3" ht="12.75" thickBot="1">
      <c r="A56" s="136" t="s">
        <v>10</v>
      </c>
      <c r="B56" s="136"/>
      <c r="C56" s="136"/>
    </row>
    <row r="57" spans="1:16" ht="12">
      <c r="A57" s="133"/>
      <c r="B57" s="48" t="s">
        <v>141</v>
      </c>
      <c r="C57" s="43" t="s">
        <v>143</v>
      </c>
      <c r="E57" s="50" t="s">
        <v>22</v>
      </c>
      <c r="F57" s="48" t="s">
        <v>20</v>
      </c>
      <c r="G57" s="51" t="s">
        <v>21</v>
      </c>
      <c r="H57" s="52" t="s">
        <v>33</v>
      </c>
      <c r="I57" s="50" t="s">
        <v>26</v>
      </c>
      <c r="J57" s="48" t="s">
        <v>25</v>
      </c>
      <c r="K57" s="51" t="s">
        <v>27</v>
      </c>
      <c r="L57" s="52" t="s">
        <v>33</v>
      </c>
      <c r="M57" s="59" t="s">
        <v>28</v>
      </c>
      <c r="N57" s="51" t="s">
        <v>29</v>
      </c>
      <c r="O57" s="51" t="s">
        <v>30</v>
      </c>
      <c r="P57" s="52" t="s">
        <v>33</v>
      </c>
    </row>
    <row r="58" spans="1:16" ht="12">
      <c r="A58" s="134"/>
      <c r="B58" s="15" t="s">
        <v>142</v>
      </c>
      <c r="C58" s="44" t="s">
        <v>144</v>
      </c>
      <c r="E58" s="53" t="s">
        <v>23</v>
      </c>
      <c r="F58" s="15" t="s">
        <v>17</v>
      </c>
      <c r="G58" s="15" t="s">
        <v>24</v>
      </c>
      <c r="H58" s="54" t="s">
        <v>34</v>
      </c>
      <c r="I58" s="53" t="s">
        <v>23</v>
      </c>
      <c r="J58" s="15" t="s">
        <v>17</v>
      </c>
      <c r="K58" s="15" t="s">
        <v>24</v>
      </c>
      <c r="L58" s="54" t="s">
        <v>34</v>
      </c>
      <c r="M58" s="53" t="s">
        <v>17</v>
      </c>
      <c r="N58" s="15" t="s">
        <v>24</v>
      </c>
      <c r="O58" s="1"/>
      <c r="P58" s="54" t="s">
        <v>34</v>
      </c>
    </row>
    <row r="59" spans="1:16" ht="12.75" thickBot="1">
      <c r="A59" s="65" t="s">
        <v>35</v>
      </c>
      <c r="B59" s="37">
        <v>0</v>
      </c>
      <c r="C59" s="24">
        <v>0</v>
      </c>
      <c r="E59" s="55">
        <f>IF((0.424*'Material Properties'!$C$9+0.374*'Colombia Calc'!$F$6)&gt;'Material Properties'!$C$9,'Material Properties'!$C$9,(0.424*'Material Properties'!$C$9+0.374*'Colombia Calc'!$F$6))</f>
        <v>0.39204</v>
      </c>
      <c r="F59" s="56">
        <f>$L$3*E59*1000</f>
        <v>147.01500000000001</v>
      </c>
      <c r="G59" s="57">
        <f>($J$4*E59/SQRT('Material Properties'!$D$9))/100</f>
        <v>0.0009979709129869466</v>
      </c>
      <c r="H59" s="63">
        <f>F59/(G59*$G$6)</f>
        <v>58925.56509887898</v>
      </c>
      <c r="I59" s="55">
        <f>IF((0.21*'Material Properties'!$C$9+0.363*$F$6+0.0141*SQRT('Material Properties'!$E$8*'Material Properties'!$F$8))&lt;E59,E59,(0.21*'Material Properties'!$C$9+0.363*$F$6+0.0141*SQRT('Material Properties'!$E$8*'Material Properties'!$F$8)))</f>
        <v>0.39204</v>
      </c>
      <c r="J59" s="56">
        <f>$L$3*I59*1000</f>
        <v>147.01500000000001</v>
      </c>
      <c r="K59" s="58">
        <f>0.65*N59</f>
        <v>0.0029535673671638495</v>
      </c>
      <c r="L59" s="63">
        <f>J59/(K59*$G$6)</f>
        <v>19910.160389017372</v>
      </c>
      <c r="M59" s="60">
        <f>0.8*J59</f>
        <v>117.61200000000002</v>
      </c>
      <c r="N59" s="58">
        <f>O59*$J$4*I59/SQRT('Material Properties'!$D$9)/100</f>
        <v>0.004543949795636691</v>
      </c>
      <c r="O59" s="61">
        <f>IF(((0.5/(I59^2))+1.3)&gt;6,6,((0.5/(I59^2))+1.3))</f>
        <v>4.553188611516302</v>
      </c>
      <c r="P59" s="63">
        <f>M59/(N59*$G$6)</f>
        <v>10353.283402289035</v>
      </c>
    </row>
    <row r="60" spans="1:16" ht="12">
      <c r="A60" s="45" t="s">
        <v>137</v>
      </c>
      <c r="B60" s="42">
        <f>$B$6*$G$6*$G59*39.37</f>
        <v>0.0982252871107402</v>
      </c>
      <c r="C60" s="64">
        <f>(B60/39.37)*(H59/$E$6)*(1000/9.81)</f>
        <v>0.08162439287641664</v>
      </c>
      <c r="G60" s="100" t="s">
        <v>2</v>
      </c>
      <c r="H60" s="101">
        <f>2*PI()*SQRT($E$6/H59/1000)</f>
        <v>0.35072306573300105</v>
      </c>
      <c r="I60" s="101"/>
      <c r="J60" s="101"/>
      <c r="K60" s="101"/>
      <c r="L60" s="101">
        <f>2*PI()*SQRT($E$6/L59/1000)</f>
        <v>0.6033632126658282</v>
      </c>
      <c r="M60" s="101"/>
      <c r="N60" s="101"/>
      <c r="O60" s="101"/>
      <c r="P60" s="101">
        <f>2*PI()*SQRT($E$6/P59/1000)</f>
        <v>0.8367142311520488</v>
      </c>
    </row>
    <row r="61" spans="1:3" ht="12">
      <c r="A61" s="45" t="s">
        <v>138</v>
      </c>
      <c r="B61" s="42">
        <f>$B$6*$G$6*$K59*39.37</f>
        <v>0.29070486811310187</v>
      </c>
      <c r="C61" s="64">
        <f>(B61/39.37)*(L59/$E$6)*(1000/9.81)</f>
        <v>0.08162439287641662</v>
      </c>
    </row>
    <row r="62" spans="1:3" ht="12.75" thickBot="1">
      <c r="A62" s="46" t="s">
        <v>139</v>
      </c>
      <c r="B62" s="49">
        <f>$B$6*$G$6*$N59*39.37</f>
        <v>0.4472382586355413</v>
      </c>
      <c r="C62" s="62">
        <f>(B62/39.37)*(P59/$E$6)*(1000/9.81)</f>
        <v>0.0652995143011333</v>
      </c>
    </row>
  </sheetData>
  <mergeCells count="13">
    <mergeCell ref="I2:J2"/>
    <mergeCell ref="A20:A21"/>
    <mergeCell ref="A29:A30"/>
    <mergeCell ref="A39:A40"/>
    <mergeCell ref="A48:A49"/>
    <mergeCell ref="A57:A58"/>
    <mergeCell ref="A10:C10"/>
    <mergeCell ref="A56:C56"/>
    <mergeCell ref="A47:C47"/>
    <mergeCell ref="A38:C38"/>
    <mergeCell ref="A28:C28"/>
    <mergeCell ref="A19:C19"/>
    <mergeCell ref="A11:A1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Anna Lang</dc:creator>
  <cp:keywords/>
  <dc:description/>
  <cp:lastModifiedBy>Marjorie Greene</cp:lastModifiedBy>
  <cp:lastPrinted>2009-09-21T18:09:25Z</cp:lastPrinted>
  <dcterms:created xsi:type="dcterms:W3CDTF">2009-09-17T22:00:25Z</dcterms:created>
  <dcterms:modified xsi:type="dcterms:W3CDTF">2010-04-30T17:40:41Z</dcterms:modified>
  <cp:category/>
  <cp:version/>
  <cp:contentType/>
  <cp:contentStatus/>
</cp:coreProperties>
</file>