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18640" windowHeight="11760" tabRatio="645" activeTab="3"/>
  </bookViews>
  <sheets>
    <sheet name="COMPILED DATA" sheetId="1" r:id="rId1"/>
    <sheet name="Spectral Conv." sheetId="2" r:id="rId2"/>
    <sheet name="Summary of Spectral Coord." sheetId="3" r:id="rId3"/>
    <sheet name="PLOT" sheetId="4" r:id="rId4"/>
  </sheets>
  <definedNames/>
  <calcPr fullCalcOnLoad="1"/>
</workbook>
</file>

<file path=xl/comments1.xml><?xml version="1.0" encoding="utf-8"?>
<comments xmlns="http://schemas.openxmlformats.org/spreadsheetml/2006/main">
  <authors>
    <author>kjaiswal</author>
  </authors>
  <commentList>
    <comment ref="AK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2"/>
          </rPr>
          <t xml:space="preserve">
mu - ductility factor
= Ratio between max displacement and yield displacement</t>
        </r>
      </text>
    </comment>
    <comment ref="AL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2"/>
          </rPr>
          <t xml:space="preserve">
For example:
R = (mu-1)*(T/Tc)+1
if T &lt; Tc
R = mu if T &gt;= Tc
where-
mu - ductility factor
Tc - Chara. Period of ground motion e.g., 0.6 or 0.7 sec</t>
        </r>
      </text>
    </comment>
    <comment ref="AM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2"/>
          </rPr>
          <t xml:space="preserve">
Describe it:
For example, out-of-plane failure, Pancake, Failure in Torsional mode or any other mechanism (also refer fig 1-4 in data spreadsheet)</t>
        </r>
      </text>
    </comment>
    <comment ref="M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2"/>
          </rPr>
          <t xml:space="preserve">
Load bearing wall in case of masonry bldgs
OR RC frame (designed or not designed for EQ loading)</t>
        </r>
      </text>
    </comment>
    <comment ref="E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2"/>
          </rPr>
          <t xml:space="preserve">
HAZUS Capacity Spectrum Method,
SPO2IDA method (Vamvastikos and Cornell), RiskUE approach, DBELA approach or Others</t>
        </r>
      </text>
    </comment>
    <comment ref="AN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2"/>
          </rPr>
          <t xml:space="preserve">
Through Experimental or Period obtained through Dynamic Modeling</t>
        </r>
      </text>
    </comment>
  </commentList>
</comments>
</file>

<file path=xl/sharedStrings.xml><?xml version="1.0" encoding="utf-8"?>
<sst xmlns="http://schemas.openxmlformats.org/spreadsheetml/2006/main" count="262" uniqueCount="130">
  <si>
    <t>Displ</t>
  </si>
  <si>
    <t>Bldg Mass</t>
  </si>
  <si>
    <t>Keff</t>
  </si>
  <si>
    <r>
      <t>S</t>
    </r>
    <r>
      <rPr>
        <b/>
        <vertAlign val="subscript"/>
        <sz val="10"/>
        <rFont val="Arial"/>
        <family val="2"/>
      </rPr>
      <t>d</t>
    </r>
  </si>
  <si>
    <t>kN/m</t>
  </si>
  <si>
    <t>Meff</t>
  </si>
  <si>
    <t>Sa</t>
  </si>
  <si>
    <t>(kg)</t>
  </si>
  <si>
    <t>(g)</t>
  </si>
  <si>
    <t>Eff. Mass</t>
  </si>
  <si>
    <t>Coeff. (k3)</t>
  </si>
  <si>
    <t>(a.k.a. k1)</t>
  </si>
  <si>
    <r>
      <t xml:space="preserve">(taken at </t>
    </r>
    <r>
      <rPr>
        <sz val="10"/>
        <rFont val="Symbol"/>
        <family val="1"/>
      </rPr>
      <t>D</t>
    </r>
    <r>
      <rPr>
        <sz val="10"/>
        <rFont val="Arial"/>
        <family val="2"/>
      </rPr>
      <t>)</t>
    </r>
  </si>
  <si>
    <t>POINT B - YIELD</t>
  </si>
  <si>
    <t>POINT C - MAXIMUM STRENGTH</t>
  </si>
  <si>
    <t>POINT D - ULTIMATE</t>
  </si>
  <si>
    <t>Referece 6 (Aguilar, et al 1996)</t>
  </si>
  <si>
    <t>Point</t>
  </si>
  <si>
    <t>A</t>
  </si>
  <si>
    <t>B</t>
  </si>
  <si>
    <t>C</t>
  </si>
  <si>
    <t>D</t>
  </si>
  <si>
    <t>E</t>
  </si>
  <si>
    <t>Y (Sa)</t>
  </si>
  <si>
    <t>X (Sd)</t>
  </si>
  <si>
    <t>Specimen 1</t>
  </si>
  <si>
    <t>Specimen 2</t>
  </si>
  <si>
    <t>Specimen 3</t>
  </si>
  <si>
    <t>Specimen 4</t>
  </si>
  <si>
    <t>Specimen 5</t>
  </si>
  <si>
    <t>Specimen 6</t>
  </si>
  <si>
    <t>Series I: no horiz wall reinf., Specimen O</t>
  </si>
  <si>
    <t>Series I: 0.1% horiz wall reinf, smooth ladder , Specimen E</t>
  </si>
  <si>
    <t>Series I: 0.09% horiz wall reinf, 2 high strength deformed wires, Specimen B</t>
  </si>
  <si>
    <t>Series II: no horiz wall reinf., SpecimenMO</t>
  </si>
  <si>
    <t>Series II: 0.07% horiz wall reinf, 2 high strength deformed wires, SpecimenM1</t>
  </si>
  <si>
    <t>Series II: 0.2%  horiz wall reinf, 2 high strength deformed wires, Specimen M2</t>
  </si>
  <si>
    <t>O</t>
  </si>
  <si>
    <t>MO</t>
  </si>
  <si>
    <t>M1</t>
  </si>
  <si>
    <t>M2</t>
  </si>
  <si>
    <t>ADDITIONAL POINT/TEST END</t>
  </si>
  <si>
    <t>ULTIMATE (usually defined by % peak)</t>
  </si>
  <si>
    <t>85% peak 0.54 Mpa</t>
  </si>
  <si>
    <t>FORCE (kN)</t>
  </si>
  <si>
    <t>94.6 kN</t>
  </si>
  <si>
    <t>ave +/- 140.5 kN</t>
  </si>
  <si>
    <t>reported</t>
  </si>
  <si>
    <t>0.50 m2</t>
  </si>
  <si>
    <t>Clay (lower str)</t>
  </si>
  <si>
    <t>kN</t>
  </si>
  <si>
    <t>meters</t>
  </si>
  <si>
    <t>POINT E - Test End</t>
  </si>
  <si>
    <t>STRUCTURAL IDENTIFICATION</t>
  </si>
  <si>
    <t>APPROACH IDENTIFICATION</t>
  </si>
  <si>
    <t>REFERENCE</t>
  </si>
  <si>
    <t>Full</t>
  </si>
  <si>
    <t>Location</t>
  </si>
  <si>
    <t>Wall</t>
  </si>
  <si>
    <t>X</t>
  </si>
  <si>
    <t>Test</t>
  </si>
  <si>
    <t>Method</t>
  </si>
  <si>
    <t>Wall or</t>
  </si>
  <si>
    <t>Scale?</t>
  </si>
  <si>
    <t>Specimen</t>
  </si>
  <si>
    <t>Geometry?</t>
  </si>
  <si>
    <t>System?</t>
  </si>
  <si>
    <t>Geographic</t>
  </si>
  <si>
    <t>Brick</t>
  </si>
  <si>
    <t>Material</t>
  </si>
  <si>
    <t>tical?</t>
  </si>
  <si>
    <t>Experi-</t>
  </si>
  <si>
    <t>mental?</t>
  </si>
  <si>
    <t>Analy-</t>
  </si>
  <si>
    <t>Code or</t>
  </si>
  <si>
    <t>Mortar Ratio</t>
  </si>
  <si>
    <t>Strength</t>
  </si>
  <si>
    <t>Reduction Factor</t>
  </si>
  <si>
    <t>Failure</t>
  </si>
  <si>
    <t>Mode</t>
  </si>
  <si>
    <t>Natural</t>
  </si>
  <si>
    <t>Period</t>
  </si>
  <si>
    <t>Ductility</t>
  </si>
  <si>
    <t>Factor</t>
  </si>
  <si>
    <t>Mexico</t>
  </si>
  <si>
    <t>Influence of Horizontal Reinforcement on the Behavior of Confined Masonry Walls</t>
  </si>
  <si>
    <t>Aguilar, Meli, Diaz, Vazquez-del-Mercado</t>
  </si>
  <si>
    <t>1996 11th World Conference on Earthquake Engineering</t>
  </si>
  <si>
    <t>Cement:Lime:Sand</t>
  </si>
  <si>
    <t>Mass</t>
  </si>
  <si>
    <t>Damping</t>
  </si>
  <si>
    <t>?</t>
  </si>
  <si>
    <t>Actual Construction?</t>
  </si>
  <si>
    <t>Weight</t>
  </si>
  <si>
    <t>Mexico City Bldg Code</t>
  </si>
  <si>
    <t>1:3 cement:sand</t>
  </si>
  <si>
    <t>2 Walls in Series</t>
  </si>
  <si>
    <t>Aspect Ratio</t>
  </si>
  <si>
    <t xml:space="preserve">Shear </t>
  </si>
  <si>
    <t>n/a</t>
  </si>
  <si>
    <t>Clay</t>
  </si>
  <si>
    <t>Axial Stress</t>
  </si>
  <si>
    <t>Applied?</t>
  </si>
  <si>
    <r>
      <t>b</t>
    </r>
    <r>
      <rPr>
        <vertAlign val="subscript"/>
        <sz val="10"/>
        <rFont val="Arial"/>
        <family val="2"/>
      </rPr>
      <t xml:space="preserve">T,ds </t>
    </r>
    <r>
      <rPr>
        <sz val="10"/>
        <rFont val="Arial"/>
        <family val="2"/>
      </rPr>
      <t>*</t>
    </r>
  </si>
  <si>
    <t xml:space="preserve">Wall </t>
  </si>
  <si>
    <t>Length</t>
  </si>
  <si>
    <t>Single wall, In-plane</t>
  </si>
  <si>
    <t>PS, cyclic</t>
  </si>
  <si>
    <t>1.0 &amp; 1.6 (0.5 overall)</t>
  </si>
  <si>
    <t>1 Wall</t>
  </si>
  <si>
    <t>0.49 Mpa</t>
  </si>
  <si>
    <t>0.49 Mpa (4-5 stories)</t>
  </si>
  <si>
    <t>4.0 m total</t>
  </si>
  <si>
    <t>1 story: 2.4 &amp; 1.6m walls, 1m opening</t>
  </si>
  <si>
    <t>Higher masonry shear strength than Series II</t>
  </si>
  <si>
    <t>REMARKS</t>
  </si>
  <si>
    <t>Std Dev</t>
  </si>
  <si>
    <t>DRIFT</t>
  </si>
  <si>
    <t>Remark</t>
  </si>
  <si>
    <t>approx</t>
  </si>
  <si>
    <t>MAXIMUM</t>
  </si>
  <si>
    <t>Reported Force or Stress</t>
  </si>
  <si>
    <t>Reported Force</t>
  </si>
  <si>
    <t>AREA</t>
  </si>
  <si>
    <t>YIELD/CRACKING</t>
  </si>
  <si>
    <t>Drift</t>
  </si>
  <si>
    <t>Height</t>
  </si>
  <si>
    <t>2.5 m</t>
  </si>
  <si>
    <r>
      <t>a</t>
    </r>
    <r>
      <rPr>
        <vertAlign val="subscript"/>
        <sz val="10"/>
        <rFont val="Arial"/>
        <family val="2"/>
      </rPr>
      <t>2</t>
    </r>
  </si>
  <si>
    <t>Force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</si>
</sst>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69" formatCode="0.00000"/>
    <numFmt numFmtId="170" formatCode="0.000"/>
    <numFmt numFmtId="171" formatCode="0.0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General"/>
  </numFmts>
  <fonts count="17">
    <font>
      <sz val="10"/>
      <name val="Arial"/>
      <family val="2"/>
    </font>
    <font>
      <b/>
      <sz val="10"/>
      <name val="Tahoma"/>
      <family val="0"/>
    </font>
    <font>
      <sz val="10"/>
      <name val="Tahoma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24"/>
      <color indexed="8"/>
      <name val="Book Antiqua"/>
      <family val="0"/>
    </font>
    <font>
      <sz val="30"/>
      <color indexed="8"/>
      <name val="Book Antiqua"/>
      <family val="0"/>
    </font>
    <font>
      <sz val="10.1"/>
      <color indexed="8"/>
      <name val="Book Antiqua"/>
      <family val="0"/>
    </font>
    <font>
      <b/>
      <sz val="10.1"/>
      <color indexed="8"/>
      <name val="Book Antiqu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6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168" fontId="0" fillId="0" borderId="0" xfId="0" applyNumberFormat="1" applyFill="1" applyAlignment="1">
      <alignment horizontal="right"/>
    </xf>
    <xf numFmtId="0" fontId="8" fillId="6" borderId="0" xfId="0" applyFont="1" applyFill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7" borderId="0" xfId="0" applyFill="1" applyAlignment="1">
      <alignment/>
    </xf>
    <xf numFmtId="0" fontId="0" fillId="8" borderId="1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0" borderId="4" xfId="0" applyFill="1" applyBorder="1" applyAlignment="1">
      <alignment vertical="center"/>
    </xf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4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4" borderId="1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168" fontId="0" fillId="7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4" borderId="1" xfId="0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" fontId="0" fillId="0" borderId="5" xfId="0" applyNumberFormat="1" applyBorder="1" applyAlignment="1">
      <alignment/>
    </xf>
    <xf numFmtId="2" fontId="0" fillId="7" borderId="5" xfId="0" applyNumberFormat="1" applyFill="1" applyBorder="1" applyAlignment="1">
      <alignment/>
    </xf>
    <xf numFmtId="2" fontId="10" fillId="7" borderId="5" xfId="0" applyNumberFormat="1" applyFont="1" applyFill="1" applyBorder="1" applyAlignment="1">
      <alignment horizontal="center"/>
    </xf>
    <xf numFmtId="2" fontId="10" fillId="7" borderId="10" xfId="0" applyNumberFormat="1" applyFont="1" applyFill="1" applyBorder="1" applyAlignment="1">
      <alignment horizontal="center"/>
    </xf>
    <xf numFmtId="1" fontId="0" fillId="0" borderId="5" xfId="0" applyNumberFormat="1" applyBorder="1" applyAlignment="1">
      <alignment/>
    </xf>
    <xf numFmtId="1" fontId="0" fillId="0" borderId="5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0" xfId="0" applyNumberFormat="1" applyBorder="1" applyAlignment="1">
      <alignment/>
    </xf>
    <xf numFmtId="169" fontId="0" fillId="0" borderId="0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2" fontId="0" fillId="7" borderId="0" xfId="0" applyNumberFormat="1" applyFill="1" applyAlignment="1">
      <alignment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171" fontId="0" fillId="0" borderId="0" xfId="0" applyNumberFormat="1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171" fontId="0" fillId="0" borderId="2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11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1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5" xfId="0" applyFill="1" applyBorder="1" applyAlignment="1">
      <alignment/>
    </xf>
    <xf numFmtId="2" fontId="0" fillId="0" borderId="2" xfId="0" applyNumberFormat="1" applyFill="1" applyBorder="1" applyAlignment="1">
      <alignment horizontal="right"/>
    </xf>
    <xf numFmtId="2" fontId="0" fillId="0" borderId="13" xfId="0" applyNumberFormat="1" applyFill="1" applyBorder="1" applyAlignment="1">
      <alignment horizontal="right"/>
    </xf>
    <xf numFmtId="0" fontId="0" fillId="0" borderId="16" xfId="0" applyFill="1" applyBorder="1" applyAlignment="1">
      <alignment/>
    </xf>
    <xf numFmtId="171" fontId="0" fillId="0" borderId="3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right"/>
    </xf>
    <xf numFmtId="170" fontId="0" fillId="0" borderId="13" xfId="0" applyNumberForma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8" xfId="0" applyFill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0" fontId="0" fillId="0" borderId="2" xfId="0" applyFill="1" applyBorder="1" applyAlignment="1">
      <alignment horizontal="right" vertical="center"/>
    </xf>
    <xf numFmtId="171" fontId="0" fillId="0" borderId="3" xfId="0" applyNumberFormat="1" applyFill="1" applyBorder="1" applyAlignment="1">
      <alignment horizontal="left"/>
    </xf>
    <xf numFmtId="171" fontId="0" fillId="0" borderId="17" xfId="0" applyNumberFormat="1" applyFill="1" applyBorder="1" applyAlignment="1">
      <alignment horizontal="left"/>
    </xf>
    <xf numFmtId="0" fontId="0" fillId="0" borderId="20" xfId="0" applyFill="1" applyBorder="1" applyAlignment="1">
      <alignment horizontal="right" vertical="center"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170" fontId="0" fillId="0" borderId="18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/>
    </xf>
    <xf numFmtId="171" fontId="0" fillId="0" borderId="20" xfId="0" applyNumberFormat="1" applyFill="1" applyBorder="1" applyAlignment="1">
      <alignment horizontal="left"/>
    </xf>
    <xf numFmtId="171" fontId="0" fillId="0" borderId="23" xfId="0" applyNumberFormat="1" applyFill="1" applyBorder="1" applyAlignment="1">
      <alignment horizontal="left"/>
    </xf>
    <xf numFmtId="0" fontId="0" fillId="0" borderId="23" xfId="0" applyFill="1" applyBorder="1" applyAlignment="1">
      <alignment horizontal="right"/>
    </xf>
    <xf numFmtId="170" fontId="0" fillId="0" borderId="0" xfId="0" applyNumberFormat="1" applyFill="1" applyBorder="1" applyAlignment="1">
      <alignment horizontal="right"/>
    </xf>
    <xf numFmtId="1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23" xfId="0" applyFill="1" applyBorder="1" applyAlignment="1">
      <alignment/>
    </xf>
    <xf numFmtId="170" fontId="0" fillId="0" borderId="25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26" xfId="0" applyNumberFormat="1" applyFill="1" applyBorder="1" applyAlignment="1">
      <alignment/>
    </xf>
    <xf numFmtId="0" fontId="0" fillId="0" borderId="27" xfId="0" applyFill="1" applyBorder="1" applyAlignment="1">
      <alignment/>
    </xf>
    <xf numFmtId="171" fontId="0" fillId="0" borderId="2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71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0" borderId="5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0" fontId="0" fillId="0" borderId="8" xfId="0" applyFill="1" applyBorder="1" applyAlignment="1">
      <alignment horizontal="right"/>
    </xf>
    <xf numFmtId="1" fontId="0" fillId="0" borderId="8" xfId="0" applyNumberFormat="1" applyFill="1" applyBorder="1" applyAlignment="1">
      <alignment horizontal="right"/>
    </xf>
    <xf numFmtId="0" fontId="0" fillId="0" borderId="8" xfId="0" applyFill="1" applyBorder="1" applyAlignment="1">
      <alignment/>
    </xf>
    <xf numFmtId="1" fontId="0" fillId="0" borderId="8" xfId="0" applyNumberFormat="1" applyFill="1" applyBorder="1" applyAlignment="1">
      <alignment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4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168" fontId="0" fillId="0" borderId="4" xfId="0" applyNumberFormat="1" applyFill="1" applyBorder="1" applyAlignment="1">
      <alignment horizontal="right" vertical="center"/>
    </xf>
    <xf numFmtId="168" fontId="0" fillId="0" borderId="31" xfId="0" applyNumberForma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1625"/>
          <c:w val="0.89375"/>
          <c:h val="0.82575"/>
        </c:manualLayout>
      </c:layout>
      <c:scatterChart>
        <c:scatterStyle val="lineMarker"/>
        <c:varyColors val="0"/>
        <c:ser>
          <c:idx val="0"/>
          <c:order val="0"/>
          <c:tx>
            <c:v>O: 2 walls, no wall reinf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'Summary of Spectral Coord.'!$B$6:$B$9</c:f>
              <c:numCache>
                <c:ptCount val="4"/>
                <c:pt idx="0">
                  <c:v>0</c:v>
                </c:pt>
                <c:pt idx="1">
                  <c:v>0.1279525</c:v>
                </c:pt>
                <c:pt idx="2">
                  <c:v>0.5905499999999999</c:v>
                </c:pt>
                <c:pt idx="3">
                  <c:v>0.5905499999999999</c:v>
                </c:pt>
              </c:numCache>
            </c:numRef>
          </c:xVal>
          <c:yVal>
            <c:numRef>
              <c:f>'Summary of Spectral Coord.'!$C$6:$C$9</c:f>
              <c:numCache>
                <c:ptCount val="4"/>
                <c:pt idx="0">
                  <c:v>0</c:v>
                </c:pt>
                <c:pt idx="1">
                  <c:v>0.11752713317742998</c:v>
                </c:pt>
                <c:pt idx="2">
                  <c:v>0.12951969778737182</c:v>
                </c:pt>
                <c:pt idx="3">
                  <c:v>0.12951969778737182</c:v>
                </c:pt>
              </c:numCache>
            </c:numRef>
          </c:yVal>
          <c:smooth val="0"/>
        </c:ser>
        <c:ser>
          <c:idx val="1"/>
          <c:order val="1"/>
          <c:tx>
            <c:v>E: 2 walls, 0.1% reinf, ladder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'Summary of Spectral Coord.'!$F$6:$F$10</c:f>
              <c:numCache>
                <c:ptCount val="5"/>
                <c:pt idx="0">
                  <c:v>0</c:v>
                </c:pt>
                <c:pt idx="1">
                  <c:v>0.1279525</c:v>
                </c:pt>
                <c:pt idx="2">
                  <c:v>0.29527499999999995</c:v>
                </c:pt>
                <c:pt idx="3">
                  <c:v>0.492125</c:v>
                </c:pt>
                <c:pt idx="4">
                  <c:v>1.1810999999999998</c:v>
                </c:pt>
              </c:numCache>
            </c:numRef>
          </c:xVal>
          <c:yVal>
            <c:numRef>
              <c:f>'Summary of Spectral Coord.'!$G$6:$G$10</c:f>
              <c:numCache>
                <c:ptCount val="5"/>
                <c:pt idx="0">
                  <c:v>0</c:v>
                </c:pt>
                <c:pt idx="1">
                  <c:v>0.12712118486538346</c:v>
                </c:pt>
                <c:pt idx="2">
                  <c:v>0.14630928824129041</c:v>
                </c:pt>
                <c:pt idx="3">
                  <c:v>0.12436289500509685</c:v>
                </c:pt>
                <c:pt idx="4">
                  <c:v>0.07915092642561611</c:v>
                </c:pt>
              </c:numCache>
            </c:numRef>
          </c:yVal>
          <c:smooth val="0"/>
        </c:ser>
        <c:ser>
          <c:idx val="2"/>
          <c:order val="2"/>
          <c:tx>
            <c:v>B: 2 walls, 0.09% reinf, h.s. wires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'Summary of Spectral Coord.'!$J$6:$J$10</c:f>
              <c:numCache>
                <c:ptCount val="5"/>
                <c:pt idx="0">
                  <c:v>0</c:v>
                </c:pt>
                <c:pt idx="1">
                  <c:v>0.1279525</c:v>
                </c:pt>
                <c:pt idx="2">
                  <c:v>0.688975</c:v>
                </c:pt>
                <c:pt idx="3">
                  <c:v>0.7874</c:v>
                </c:pt>
                <c:pt idx="4">
                  <c:v>1.3287375</c:v>
                </c:pt>
              </c:numCache>
            </c:numRef>
          </c:xVal>
          <c:yVal>
            <c:numRef>
              <c:f>'Summary of Spectral Coord.'!$K$6:$K$10</c:f>
              <c:numCache>
                <c:ptCount val="5"/>
                <c:pt idx="0">
                  <c:v>0</c:v>
                </c:pt>
                <c:pt idx="1">
                  <c:v>0.12951969778737182</c:v>
                </c:pt>
                <c:pt idx="2">
                  <c:v>0.22066318882292976</c:v>
                </c:pt>
                <c:pt idx="3">
                  <c:v>0.1875637104994903</c:v>
                </c:pt>
                <c:pt idx="4">
                  <c:v>0.07195538765965102</c:v>
                </c:pt>
              </c:numCache>
            </c:numRef>
          </c:yVal>
          <c:smooth val="0"/>
        </c:ser>
        <c:ser>
          <c:idx val="3"/>
          <c:order val="3"/>
          <c:tx>
            <c:v>MO: 1 wall, no reinf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'Summary of Spectral Coord.'!$B$16:$B$19</c:f>
              <c:numCache>
                <c:ptCount val="4"/>
                <c:pt idx="0">
                  <c:v>0</c:v>
                </c:pt>
                <c:pt idx="1">
                  <c:v>0.098425</c:v>
                </c:pt>
                <c:pt idx="2">
                  <c:v>0.44783375</c:v>
                </c:pt>
                <c:pt idx="3">
                  <c:v>1.0334625</c:v>
                </c:pt>
              </c:numCache>
            </c:numRef>
          </c:xVal>
          <c:yVal>
            <c:numRef>
              <c:f>'Summary of Spectral Coord.'!$C$16:$C$19</c:f>
              <c:numCache>
                <c:ptCount val="4"/>
                <c:pt idx="0">
                  <c:v>0</c:v>
                </c:pt>
                <c:pt idx="1">
                  <c:v>0.045379864484019906</c:v>
                </c:pt>
                <c:pt idx="2">
                  <c:v>0.06739821310787311</c:v>
                </c:pt>
                <c:pt idx="3">
                  <c:v>0.031180667985848776</c:v>
                </c:pt>
              </c:numCache>
            </c:numRef>
          </c:yVal>
          <c:smooth val="0"/>
        </c:ser>
        <c:ser>
          <c:idx val="4"/>
          <c:order val="4"/>
          <c:tx>
            <c:v>M1: 1 wall, 0.07% reinf, h.s. wires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'Summary of Spectral Coord.'!$F$16:$F$19</c:f>
              <c:numCache>
                <c:ptCount val="4"/>
                <c:pt idx="0">
                  <c:v>0</c:v>
                </c:pt>
                <c:pt idx="1">
                  <c:v>0.1279525</c:v>
                </c:pt>
                <c:pt idx="2">
                  <c:v>0.688975</c:v>
                </c:pt>
                <c:pt idx="3">
                  <c:v>0.98425</c:v>
                </c:pt>
              </c:numCache>
            </c:numRef>
          </c:xVal>
          <c:yVal>
            <c:numRef>
              <c:f>'Summary of Spectral Coord.'!$G$16:$G$19</c:f>
              <c:numCache>
                <c:ptCount val="4"/>
                <c:pt idx="0">
                  <c:v>0</c:v>
                </c:pt>
                <c:pt idx="1">
                  <c:v>0.06446003477843737</c:v>
                </c:pt>
                <c:pt idx="2">
                  <c:v>0.08694609342207832</c:v>
                </c:pt>
                <c:pt idx="3">
                  <c:v>0.07390417940876655</c:v>
                </c:pt>
              </c:numCache>
            </c:numRef>
          </c:yVal>
          <c:smooth val="0"/>
        </c:ser>
        <c:ser>
          <c:idx val="5"/>
          <c:order val="5"/>
          <c:tx>
            <c:v>M2: 1 wall, 0.2% reinf, h.s. wires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'Summary of Spectral Coord.'!$J$16:$J$19</c:f>
              <c:numCache>
                <c:ptCount val="4"/>
                <c:pt idx="0">
                  <c:v>0</c:v>
                </c:pt>
                <c:pt idx="1">
                  <c:v>0.1279525</c:v>
                </c:pt>
                <c:pt idx="2">
                  <c:v>0.688975</c:v>
                </c:pt>
                <c:pt idx="3">
                  <c:v>1.673225</c:v>
                </c:pt>
              </c:numCache>
            </c:numRef>
          </c:xVal>
          <c:yVal>
            <c:numRef>
              <c:f>'Summary of Spectral Coord.'!$K$16:$K$19</c:f>
              <c:numCache>
                <c:ptCount val="4"/>
                <c:pt idx="0">
                  <c:v>0</c:v>
                </c:pt>
                <c:pt idx="1">
                  <c:v>0.0509683995922528</c:v>
                </c:pt>
                <c:pt idx="2">
                  <c:v>0.07945074054086465</c:v>
                </c:pt>
                <c:pt idx="3">
                  <c:v>0.0659591053546801</c:v>
                </c:pt>
              </c:numCache>
            </c:numRef>
          </c:yVal>
          <c:smooth val="0"/>
        </c:ser>
        <c:axId val="14806459"/>
        <c:axId val="66149268"/>
      </c:scatterChart>
      <c:valAx>
        <c:axId val="14806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displ., Sd, inches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crossAx val="66149268"/>
        <c:crosses val="autoZero"/>
        <c:crossBetween val="midCat"/>
        <c:dispUnits/>
      </c:valAx>
      <c:valAx>
        <c:axId val="66149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accel., g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crossAx val="1480645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1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98"/>
          <c:y val="0.0805"/>
          <c:w val="0.302"/>
          <c:h val="0.2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13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4105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R28"/>
  <sheetViews>
    <sheetView workbookViewId="0" topLeftCell="A1">
      <pane ySplit="3" topLeftCell="BM4" activePane="bottomLeft" state="frozen"/>
      <selection pane="topLeft" activeCell="A1" sqref="A1"/>
      <selection pane="bottomLeft" activeCell="A37" sqref="A37"/>
    </sheetView>
  </sheetViews>
  <sheetFormatPr defaultColWidth="8.8515625" defaultRowHeight="12.75"/>
  <cols>
    <col min="1" max="1" width="41.140625" style="5" customWidth="1"/>
    <col min="2" max="2" width="10.421875" style="0" customWidth="1"/>
    <col min="3" max="4" width="7.421875" style="5" customWidth="1"/>
    <col min="5" max="5" width="10.421875" style="5" customWidth="1"/>
    <col min="6" max="6" width="8.28125" style="0" customWidth="1"/>
    <col min="7" max="7" width="21.8515625" style="0" customWidth="1"/>
    <col min="8" max="8" width="6.7109375" style="0" bestFit="1" customWidth="1"/>
    <col min="9" max="9" width="24.421875" style="0" hidden="1" customWidth="1"/>
    <col min="10" max="10" width="28.28125" style="0" customWidth="1"/>
    <col min="11" max="11" width="33.00390625" style="0" customWidth="1"/>
    <col min="12" max="12" width="19.8515625" style="0" customWidth="1"/>
    <col min="13" max="13" width="21.421875" style="0" bestFit="1" customWidth="1"/>
    <col min="14" max="14" width="17.00390625" style="0" hidden="1" customWidth="1"/>
    <col min="15" max="15" width="21.421875" style="0" bestFit="1" customWidth="1"/>
    <col min="16" max="16" width="10.28125" style="0" customWidth="1"/>
    <col min="17" max="17" width="18.8515625" style="0" bestFit="1" customWidth="1"/>
    <col min="18" max="18" width="23.7109375" style="31" bestFit="1" customWidth="1"/>
    <col min="19" max="19" width="21.8515625" style="28" bestFit="1" customWidth="1"/>
    <col min="20" max="20" width="8.00390625" style="0" bestFit="1" customWidth="1"/>
    <col min="21" max="21" width="27.421875" style="34" bestFit="1" customWidth="1"/>
    <col min="22" max="22" width="10.140625" style="34" bestFit="1" customWidth="1"/>
    <col min="23" max="23" width="14.140625" style="29" bestFit="1" customWidth="1"/>
    <col min="24" max="24" width="13.140625" style="28" bestFit="1" customWidth="1"/>
    <col min="25" max="25" width="8.00390625" style="28" bestFit="1" customWidth="1"/>
    <col min="26" max="26" width="17.7109375" style="0" bestFit="1" customWidth="1"/>
    <col min="27" max="27" width="11.421875" style="29" bestFit="1" customWidth="1"/>
    <col min="28" max="28" width="16.00390625" style="34" bestFit="1" customWidth="1"/>
    <col min="29" max="29" width="8.00390625" style="34" bestFit="1" customWidth="1"/>
    <col min="30" max="30" width="18.421875" style="0" bestFit="1" customWidth="1"/>
    <col min="31" max="31" width="18.421875" style="0" customWidth="1"/>
    <col min="32" max="32" width="11.421875" style="29" bestFit="1" customWidth="1"/>
    <col min="33" max="33" width="8.8515625" style="0" customWidth="1"/>
    <col min="34" max="34" width="13.8515625" style="0" bestFit="1" customWidth="1"/>
    <col min="35" max="35" width="11.421875" style="29" bestFit="1" customWidth="1"/>
    <col min="36" max="36" width="7.8515625" style="0" customWidth="1"/>
    <col min="37" max="37" width="7.7109375" style="0" customWidth="1"/>
    <col min="38" max="38" width="15.28125" style="0" customWidth="1"/>
    <col min="39" max="39" width="19.7109375" style="0" customWidth="1"/>
    <col min="40" max="40" width="8.7109375" style="0" customWidth="1"/>
    <col min="41" max="41" width="7.140625" style="0" customWidth="1"/>
    <col min="42" max="42" width="9.00390625" style="0" customWidth="1"/>
    <col min="43" max="43" width="8.421875" style="0" customWidth="1"/>
    <col min="44" max="44" width="13.8515625" style="0" customWidth="1"/>
  </cols>
  <sheetData>
    <row r="1" spans="1:44" ht="13.5" thickBot="1">
      <c r="A1" s="24" t="s">
        <v>55</v>
      </c>
      <c r="B1" s="3"/>
      <c r="C1" s="154" t="s">
        <v>54</v>
      </c>
      <c r="D1" s="154"/>
      <c r="E1" s="154"/>
      <c r="F1" s="154"/>
      <c r="G1" s="154"/>
      <c r="H1" s="154"/>
      <c r="I1" s="154"/>
      <c r="J1" s="156" t="s">
        <v>115</v>
      </c>
      <c r="K1" s="156"/>
      <c r="L1" s="156"/>
      <c r="M1" s="155" t="s">
        <v>53</v>
      </c>
      <c r="N1" s="155"/>
      <c r="O1" s="155"/>
      <c r="P1" s="155"/>
      <c r="Q1" s="155"/>
      <c r="R1" s="148" t="s">
        <v>124</v>
      </c>
      <c r="S1" s="148"/>
      <c r="T1" s="148"/>
      <c r="U1" s="148"/>
      <c r="V1" s="148"/>
      <c r="W1" s="149"/>
      <c r="X1" s="152" t="s">
        <v>120</v>
      </c>
      <c r="Y1" s="148"/>
      <c r="Z1" s="148"/>
      <c r="AA1" s="149"/>
      <c r="AB1" s="148" t="s">
        <v>42</v>
      </c>
      <c r="AC1" s="148"/>
      <c r="AD1" s="148"/>
      <c r="AE1" s="148"/>
      <c r="AF1" s="149"/>
      <c r="AG1" s="148" t="s">
        <v>41</v>
      </c>
      <c r="AH1" s="148"/>
      <c r="AI1" s="149"/>
      <c r="AJ1" s="35"/>
      <c r="AK1" s="35"/>
      <c r="AL1" s="35"/>
      <c r="AM1" s="35"/>
      <c r="AN1" s="27"/>
      <c r="AO1" s="27"/>
      <c r="AP1" s="27"/>
      <c r="AQ1" s="27"/>
      <c r="AR1" s="14"/>
    </row>
    <row r="2" spans="1:43" ht="16.5" thickBot="1">
      <c r="A2" s="25"/>
      <c r="B2" s="5" t="s">
        <v>67</v>
      </c>
      <c r="C2" s="9" t="s">
        <v>73</v>
      </c>
      <c r="D2" s="9" t="s">
        <v>71</v>
      </c>
      <c r="E2" s="2" t="s">
        <v>60</v>
      </c>
      <c r="F2" s="2" t="s">
        <v>62</v>
      </c>
      <c r="G2" s="2" t="s">
        <v>64</v>
      </c>
      <c r="H2" s="2"/>
      <c r="I2" s="2" t="s">
        <v>74</v>
      </c>
      <c r="J2" s="15"/>
      <c r="K2" s="10"/>
      <c r="L2" s="10"/>
      <c r="M2" s="1" t="s">
        <v>68</v>
      </c>
      <c r="N2" s="1" t="s">
        <v>75</v>
      </c>
      <c r="O2" s="1" t="s">
        <v>101</v>
      </c>
      <c r="P2" s="1" t="s">
        <v>104</v>
      </c>
      <c r="Q2" s="1" t="s">
        <v>58</v>
      </c>
      <c r="R2" s="150"/>
      <c r="S2" s="150"/>
      <c r="T2" s="150"/>
      <c r="U2" s="150"/>
      <c r="V2" s="150"/>
      <c r="W2" s="151"/>
      <c r="X2" s="153"/>
      <c r="Y2" s="150"/>
      <c r="Z2" s="150"/>
      <c r="AA2" s="151"/>
      <c r="AB2" s="150"/>
      <c r="AC2" s="150"/>
      <c r="AD2" s="150"/>
      <c r="AE2" s="150"/>
      <c r="AF2" s="151"/>
      <c r="AG2" s="150"/>
      <c r="AH2" s="150"/>
      <c r="AI2" s="151"/>
      <c r="AJ2" s="20" t="s">
        <v>103</v>
      </c>
      <c r="AK2" s="13" t="s">
        <v>82</v>
      </c>
      <c r="AL2" s="13" t="s">
        <v>76</v>
      </c>
      <c r="AM2" s="13" t="s">
        <v>78</v>
      </c>
      <c r="AN2" s="13" t="s">
        <v>80</v>
      </c>
      <c r="AO2" s="13" t="s">
        <v>89</v>
      </c>
      <c r="AP2" s="13" t="s">
        <v>93</v>
      </c>
      <c r="AQ2" s="13" t="s">
        <v>90</v>
      </c>
    </row>
    <row r="3" spans="1:43" s="3" customFormat="1" ht="13.5" thickBot="1">
      <c r="A3" s="24"/>
      <c r="B3" s="6" t="s">
        <v>57</v>
      </c>
      <c r="C3" s="4" t="s">
        <v>70</v>
      </c>
      <c r="D3" s="4" t="s">
        <v>72</v>
      </c>
      <c r="E3" s="9" t="s">
        <v>61</v>
      </c>
      <c r="F3" s="9" t="s">
        <v>66</v>
      </c>
      <c r="G3" s="9" t="s">
        <v>65</v>
      </c>
      <c r="H3" s="9" t="s">
        <v>63</v>
      </c>
      <c r="I3" s="4" t="s">
        <v>92</v>
      </c>
      <c r="J3" s="16"/>
      <c r="K3" s="11"/>
      <c r="L3" s="11"/>
      <c r="M3" s="7" t="s">
        <v>69</v>
      </c>
      <c r="N3" s="7" t="s">
        <v>88</v>
      </c>
      <c r="O3" s="7" t="s">
        <v>102</v>
      </c>
      <c r="P3" s="7" t="s">
        <v>105</v>
      </c>
      <c r="Q3" s="7" t="s">
        <v>97</v>
      </c>
      <c r="R3" s="30" t="s">
        <v>117</v>
      </c>
      <c r="S3" s="8" t="s">
        <v>118</v>
      </c>
      <c r="T3" s="8" t="s">
        <v>116</v>
      </c>
      <c r="U3" s="8" t="s">
        <v>121</v>
      </c>
      <c r="V3" s="8" t="s">
        <v>123</v>
      </c>
      <c r="W3" s="69" t="s">
        <v>44</v>
      </c>
      <c r="X3" s="8" t="s">
        <v>117</v>
      </c>
      <c r="Y3" s="8" t="s">
        <v>116</v>
      </c>
      <c r="Z3" s="8" t="s">
        <v>122</v>
      </c>
      <c r="AA3" s="68" t="s">
        <v>44</v>
      </c>
      <c r="AB3" s="8" t="s">
        <v>117</v>
      </c>
      <c r="AC3" s="8" t="s">
        <v>116</v>
      </c>
      <c r="AD3" s="8" t="s">
        <v>122</v>
      </c>
      <c r="AE3" s="8"/>
      <c r="AF3" s="68" t="s">
        <v>44</v>
      </c>
      <c r="AG3" s="49" t="s">
        <v>117</v>
      </c>
      <c r="AH3" s="49" t="s">
        <v>122</v>
      </c>
      <c r="AI3" s="68" t="s">
        <v>44</v>
      </c>
      <c r="AJ3" s="8"/>
      <c r="AK3" s="8" t="s">
        <v>83</v>
      </c>
      <c r="AL3" s="8" t="s">
        <v>77</v>
      </c>
      <c r="AM3" s="8" t="s">
        <v>79</v>
      </c>
      <c r="AN3" s="8" t="s">
        <v>81</v>
      </c>
      <c r="AO3" s="8"/>
      <c r="AP3" s="8"/>
      <c r="AQ3" s="8" t="s">
        <v>91</v>
      </c>
    </row>
    <row r="4" spans="1:43" s="21" customFormat="1" ht="12.75">
      <c r="A4" s="123" t="s">
        <v>86</v>
      </c>
      <c r="B4" s="26" t="s">
        <v>84</v>
      </c>
      <c r="C4" s="71"/>
      <c r="D4" s="122" t="s">
        <v>59</v>
      </c>
      <c r="E4" s="160" t="s">
        <v>107</v>
      </c>
      <c r="F4" s="143" t="s">
        <v>96</v>
      </c>
      <c r="G4" s="143" t="s">
        <v>113</v>
      </c>
      <c r="H4" s="157" t="s">
        <v>56</v>
      </c>
      <c r="I4" s="158" t="s">
        <v>94</v>
      </c>
      <c r="J4" s="133" t="s">
        <v>31</v>
      </c>
      <c r="K4" s="134"/>
      <c r="L4" s="144" t="s">
        <v>114</v>
      </c>
      <c r="M4" s="26" t="s">
        <v>100</v>
      </c>
      <c r="N4" s="141" t="s">
        <v>95</v>
      </c>
      <c r="O4" s="141" t="s">
        <v>111</v>
      </c>
      <c r="P4" s="72" t="s">
        <v>112</v>
      </c>
      <c r="Q4" s="73" t="s">
        <v>108</v>
      </c>
      <c r="R4" s="74">
        <v>0.0013</v>
      </c>
      <c r="S4" s="75" t="s">
        <v>119</v>
      </c>
      <c r="T4" s="75"/>
      <c r="U4" s="76" t="s">
        <v>110</v>
      </c>
      <c r="V4" s="77" t="s">
        <v>48</v>
      </c>
      <c r="W4" s="78">
        <f>(0.49*1000)*0.5</f>
        <v>245</v>
      </c>
      <c r="X4" s="79">
        <v>0.006</v>
      </c>
      <c r="Y4" s="77"/>
      <c r="Z4" s="76">
        <v>0.54</v>
      </c>
      <c r="AA4" s="78">
        <f>(Z4*1000)*0.5</f>
        <v>270</v>
      </c>
      <c r="AB4" s="80">
        <v>0.006</v>
      </c>
      <c r="AC4" s="80"/>
      <c r="AD4" s="81" t="s">
        <v>43</v>
      </c>
      <c r="AE4" s="82"/>
      <c r="AF4" s="78">
        <f>(0.54*1000)*0.5</f>
        <v>270</v>
      </c>
      <c r="AG4" s="80"/>
      <c r="AI4" s="83"/>
      <c r="AJ4" s="146"/>
      <c r="AK4" s="72">
        <f aca="true" t="shared" si="0" ref="AK4:AK9">X4/0.0013</f>
        <v>4.615384615384616</v>
      </c>
      <c r="AM4" s="141" t="s">
        <v>98</v>
      </c>
      <c r="AN4" s="21" t="s">
        <v>99</v>
      </c>
      <c r="AO4" s="21" t="s">
        <v>99</v>
      </c>
      <c r="AP4" s="21" t="s">
        <v>99</v>
      </c>
      <c r="AQ4" s="21" t="s">
        <v>99</v>
      </c>
    </row>
    <row r="5" spans="1:43" s="22" customFormat="1" ht="25.5">
      <c r="A5" s="123" t="s">
        <v>87</v>
      </c>
      <c r="B5" s="26" t="s">
        <v>84</v>
      </c>
      <c r="C5" s="71"/>
      <c r="D5" s="122" t="s">
        <v>59</v>
      </c>
      <c r="E5" s="160"/>
      <c r="F5" s="143"/>
      <c r="G5" s="143"/>
      <c r="H5" s="157"/>
      <c r="I5" s="158"/>
      <c r="J5" s="139" t="s">
        <v>32</v>
      </c>
      <c r="K5" s="140"/>
      <c r="L5" s="144"/>
      <c r="M5" s="26" t="s">
        <v>100</v>
      </c>
      <c r="N5" s="141"/>
      <c r="O5" s="141"/>
      <c r="P5" s="84" t="s">
        <v>112</v>
      </c>
      <c r="Q5" s="85" t="s">
        <v>108</v>
      </c>
      <c r="R5" s="74">
        <v>0.0013</v>
      </c>
      <c r="S5" s="75" t="s">
        <v>119</v>
      </c>
      <c r="T5" s="75"/>
      <c r="U5" s="86">
        <v>0.53</v>
      </c>
      <c r="V5" s="87">
        <f>4*0.125</f>
        <v>0.5</v>
      </c>
      <c r="W5" s="78">
        <f>(U5*1000)*$V5</f>
        <v>265</v>
      </c>
      <c r="X5" s="88">
        <v>0.003</v>
      </c>
      <c r="Y5" s="89"/>
      <c r="Z5" s="85">
        <v>0.61</v>
      </c>
      <c r="AA5" s="78">
        <f>(Z5*1000)*$V5</f>
        <v>305</v>
      </c>
      <c r="AB5" s="90">
        <v>0.005</v>
      </c>
      <c r="AC5" s="90"/>
      <c r="AD5" s="91">
        <f>0.85*Z5</f>
        <v>0.5185</v>
      </c>
      <c r="AE5" s="92"/>
      <c r="AF5" s="78">
        <f>(AD5*1000)*$V5</f>
        <v>259.25</v>
      </c>
      <c r="AG5" s="80">
        <v>0.012</v>
      </c>
      <c r="AH5" s="22">
        <v>0.33</v>
      </c>
      <c r="AI5" s="78">
        <f>(AH5*1000)*$V5</f>
        <v>165</v>
      </c>
      <c r="AJ5" s="146"/>
      <c r="AK5" s="84">
        <f>X5/0.0013</f>
        <v>2.307692307692308</v>
      </c>
      <c r="AM5" s="141"/>
      <c r="AN5" s="22" t="s">
        <v>99</v>
      </c>
      <c r="AO5" s="22" t="s">
        <v>99</v>
      </c>
      <c r="AP5" s="22" t="s">
        <v>99</v>
      </c>
      <c r="AQ5" s="22" t="s">
        <v>99</v>
      </c>
    </row>
    <row r="6" spans="1:43" s="22" customFormat="1" ht="25.5">
      <c r="A6" s="124" t="s">
        <v>85</v>
      </c>
      <c r="B6" s="26" t="s">
        <v>84</v>
      </c>
      <c r="C6" s="71"/>
      <c r="D6" s="122" t="s">
        <v>59</v>
      </c>
      <c r="E6" s="160"/>
      <c r="F6" s="143"/>
      <c r="G6" s="143"/>
      <c r="H6" s="157"/>
      <c r="I6" s="158"/>
      <c r="J6" s="139" t="s">
        <v>33</v>
      </c>
      <c r="K6" s="140"/>
      <c r="L6" s="145"/>
      <c r="M6" s="26" t="s">
        <v>100</v>
      </c>
      <c r="N6" s="141"/>
      <c r="O6" s="141"/>
      <c r="P6" s="84" t="s">
        <v>112</v>
      </c>
      <c r="Q6" s="85" t="s">
        <v>108</v>
      </c>
      <c r="R6" s="74">
        <v>0.0013</v>
      </c>
      <c r="S6" s="75" t="s">
        <v>119</v>
      </c>
      <c r="T6" s="93"/>
      <c r="U6" s="86">
        <v>0.54</v>
      </c>
      <c r="V6" s="87">
        <f>4*0.125</f>
        <v>0.5</v>
      </c>
      <c r="W6" s="78">
        <f>(U6*1000)*V6</f>
        <v>270</v>
      </c>
      <c r="X6" s="88">
        <v>0.007</v>
      </c>
      <c r="Y6" s="89"/>
      <c r="Z6" s="85">
        <v>0.92</v>
      </c>
      <c r="AA6" s="78">
        <f>(Z6*1000)*$V6</f>
        <v>460</v>
      </c>
      <c r="AB6" s="90">
        <v>0.008</v>
      </c>
      <c r="AC6" s="90"/>
      <c r="AD6" s="91">
        <f>0.85*Z6</f>
        <v>0.782</v>
      </c>
      <c r="AE6" s="92"/>
      <c r="AF6" s="78">
        <f>(AD6*1000)*$V6</f>
        <v>391</v>
      </c>
      <c r="AG6" s="80">
        <v>0.0135</v>
      </c>
      <c r="AH6" s="22">
        <v>0.3</v>
      </c>
      <c r="AI6" s="78">
        <f>(AH6*1000)*$V6</f>
        <v>150</v>
      </c>
      <c r="AJ6" s="146"/>
      <c r="AK6" s="84">
        <f t="shared" si="0"/>
        <v>5.384615384615385</v>
      </c>
      <c r="AM6" s="141"/>
      <c r="AN6" s="22" t="s">
        <v>99</v>
      </c>
      <c r="AO6" s="22" t="s">
        <v>99</v>
      </c>
      <c r="AP6" s="22" t="s">
        <v>99</v>
      </c>
      <c r="AQ6" s="22" t="s">
        <v>99</v>
      </c>
    </row>
    <row r="7" spans="1:43" s="22" customFormat="1" ht="12.75">
      <c r="A7" s="71"/>
      <c r="B7" s="26" t="s">
        <v>84</v>
      </c>
      <c r="C7" s="71"/>
      <c r="D7" s="122" t="s">
        <v>59</v>
      </c>
      <c r="E7" s="160"/>
      <c r="F7" s="143" t="s">
        <v>109</v>
      </c>
      <c r="G7" s="143" t="s">
        <v>106</v>
      </c>
      <c r="H7" s="157"/>
      <c r="I7" s="158"/>
      <c r="J7" s="139" t="s">
        <v>34</v>
      </c>
      <c r="K7" s="140"/>
      <c r="M7" s="26" t="s">
        <v>49</v>
      </c>
      <c r="N7" s="141"/>
      <c r="O7" s="141"/>
      <c r="P7" s="94">
        <v>2.5</v>
      </c>
      <c r="Q7" s="95">
        <v>1</v>
      </c>
      <c r="R7" s="74">
        <v>0.001</v>
      </c>
      <c r="S7" s="75" t="s">
        <v>47</v>
      </c>
      <c r="T7" s="96"/>
      <c r="U7" s="86" t="s">
        <v>45</v>
      </c>
      <c r="V7" s="87">
        <f>2.5*0.125</f>
        <v>0.3125</v>
      </c>
      <c r="W7" s="97">
        <v>94.6</v>
      </c>
      <c r="X7" s="88">
        <v>0.00455</v>
      </c>
      <c r="Y7" s="89"/>
      <c r="Z7" s="85" t="s">
        <v>46</v>
      </c>
      <c r="AA7" s="98">
        <v>140.5</v>
      </c>
      <c r="AB7" s="99">
        <v>0.0105</v>
      </c>
      <c r="AC7" s="99"/>
      <c r="AD7" s="91"/>
      <c r="AE7" s="100"/>
      <c r="AF7" s="101">
        <v>65</v>
      </c>
      <c r="AG7" s="80"/>
      <c r="AI7" s="78"/>
      <c r="AJ7" s="146"/>
      <c r="AK7" s="84">
        <f>X7/0.001</f>
        <v>4.55</v>
      </c>
      <c r="AM7" s="141"/>
      <c r="AN7" s="22" t="s">
        <v>99</v>
      </c>
      <c r="AO7" s="22" t="s">
        <v>99</v>
      </c>
      <c r="AP7" s="22" t="s">
        <v>99</v>
      </c>
      <c r="AQ7" s="22" t="s">
        <v>99</v>
      </c>
    </row>
    <row r="8" spans="1:43" s="102" customFormat="1" ht="12.75">
      <c r="A8" s="71"/>
      <c r="B8" s="26" t="s">
        <v>84</v>
      </c>
      <c r="C8" s="71"/>
      <c r="D8" s="122" t="s">
        <v>59</v>
      </c>
      <c r="E8" s="160"/>
      <c r="F8" s="143"/>
      <c r="G8" s="143"/>
      <c r="H8" s="157"/>
      <c r="I8" s="158"/>
      <c r="J8" s="137" t="s">
        <v>35</v>
      </c>
      <c r="K8" s="138"/>
      <c r="M8" s="26" t="s">
        <v>49</v>
      </c>
      <c r="N8" s="141"/>
      <c r="O8" s="141"/>
      <c r="P8" s="103">
        <v>2.5</v>
      </c>
      <c r="Q8" s="104">
        <v>1</v>
      </c>
      <c r="R8" s="74">
        <v>0.0013</v>
      </c>
      <c r="S8" s="75" t="s">
        <v>119</v>
      </c>
      <c r="T8" s="75"/>
      <c r="U8" s="105">
        <v>0.43</v>
      </c>
      <c r="V8" s="106">
        <f>2.5*0.125</f>
        <v>0.3125</v>
      </c>
      <c r="W8" s="107">
        <f>(U8*1000)*V8</f>
        <v>134.375</v>
      </c>
      <c r="X8" s="108">
        <v>0.007</v>
      </c>
      <c r="Y8" s="109"/>
      <c r="Z8" s="110">
        <v>0.58</v>
      </c>
      <c r="AA8" s="107">
        <f>(Z8*1000)*$V8</f>
        <v>181.25</v>
      </c>
      <c r="AB8" s="111">
        <v>0.01</v>
      </c>
      <c r="AC8" s="111"/>
      <c r="AD8" s="112">
        <f>0.85*Z8</f>
        <v>0.49299999999999994</v>
      </c>
      <c r="AE8" s="113"/>
      <c r="AF8" s="107">
        <f>(AD8*1000)*$V8</f>
        <v>154.06249999999997</v>
      </c>
      <c r="AG8" s="114">
        <v>0.0145</v>
      </c>
      <c r="AH8" s="102">
        <v>0.42</v>
      </c>
      <c r="AI8" s="107">
        <f>(AH8*1000)*$V8</f>
        <v>131.25</v>
      </c>
      <c r="AJ8" s="146"/>
      <c r="AK8" s="115">
        <f t="shared" si="0"/>
        <v>5.384615384615385</v>
      </c>
      <c r="AM8" s="141"/>
      <c r="AN8" s="102" t="s">
        <v>99</v>
      </c>
      <c r="AO8" s="102" t="s">
        <v>99</v>
      </c>
      <c r="AP8" s="102" t="s">
        <v>99</v>
      </c>
      <c r="AQ8" s="102" t="s">
        <v>99</v>
      </c>
    </row>
    <row r="9" spans="1:43" s="18" customFormat="1" ht="12.75">
      <c r="A9" s="116"/>
      <c r="B9" s="117" t="s">
        <v>84</v>
      </c>
      <c r="C9" s="116"/>
      <c r="D9" s="116" t="s">
        <v>59</v>
      </c>
      <c r="E9" s="160"/>
      <c r="F9" s="143"/>
      <c r="G9" s="143"/>
      <c r="H9" s="157"/>
      <c r="I9" s="159"/>
      <c r="J9" s="135" t="s">
        <v>36</v>
      </c>
      <c r="K9" s="136"/>
      <c r="M9" s="117" t="s">
        <v>49</v>
      </c>
      <c r="N9" s="142"/>
      <c r="O9" s="142"/>
      <c r="P9" s="118">
        <v>2.5</v>
      </c>
      <c r="Q9" s="118">
        <v>1</v>
      </c>
      <c r="R9" s="117">
        <v>0.0013</v>
      </c>
      <c r="S9" s="33" t="s">
        <v>119</v>
      </c>
      <c r="T9" s="33"/>
      <c r="U9" s="32">
        <v>0.34</v>
      </c>
      <c r="V9" s="106">
        <f>2.5*0.125</f>
        <v>0.3125</v>
      </c>
      <c r="W9" s="119">
        <f>(U9*1000)*V9</f>
        <v>106.25</v>
      </c>
      <c r="X9" s="32">
        <v>0.007</v>
      </c>
      <c r="Y9" s="32"/>
      <c r="Z9" s="18">
        <v>0.53</v>
      </c>
      <c r="AA9" s="119">
        <f>(Z9*1000)*$V9</f>
        <v>165.625</v>
      </c>
      <c r="AB9" s="120">
        <v>0.017</v>
      </c>
      <c r="AC9" s="120"/>
      <c r="AD9" s="121">
        <v>0.44</v>
      </c>
      <c r="AE9" s="121"/>
      <c r="AF9" s="119">
        <f>(AD9*1000)*$V9</f>
        <v>137.5</v>
      </c>
      <c r="AG9" s="18">
        <v>0.02</v>
      </c>
      <c r="AH9" s="18">
        <v>0.38</v>
      </c>
      <c r="AI9" s="119">
        <f>(AH9*1000)*$V9</f>
        <v>118.75</v>
      </c>
      <c r="AJ9" s="147"/>
      <c r="AK9" s="70">
        <f t="shared" si="0"/>
        <v>5.384615384615385</v>
      </c>
      <c r="AM9" s="142"/>
      <c r="AN9" s="18" t="s">
        <v>99</v>
      </c>
      <c r="AO9" s="18" t="s">
        <v>99</v>
      </c>
      <c r="AP9" s="18" t="s">
        <v>99</v>
      </c>
      <c r="AQ9" s="18" t="s">
        <v>99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>
      <c r="B21" s="34"/>
    </row>
    <row r="22" ht="12.75">
      <c r="B22" s="34"/>
    </row>
    <row r="23" ht="12.75">
      <c r="B23" s="34"/>
    </row>
    <row r="24" ht="12.75">
      <c r="B24" s="34"/>
    </row>
    <row r="25" ht="12.75">
      <c r="B25" s="34"/>
    </row>
    <row r="26" ht="12.75">
      <c r="B26" s="34"/>
    </row>
    <row r="27" ht="12.75">
      <c r="B27" s="34"/>
    </row>
    <row r="28" ht="12.75">
      <c r="B28" s="34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50" ht="12.75"/>
    <row r="51" ht="12.75"/>
    <row r="52" ht="12.75"/>
    <row r="53" ht="12.75"/>
    <row r="54" ht="12.75"/>
  </sheetData>
  <mergeCells count="25">
    <mergeCell ref="E4:E9"/>
    <mergeCell ref="N4:N9"/>
    <mergeCell ref="M1:Q1"/>
    <mergeCell ref="J1:L1"/>
    <mergeCell ref="F7:F9"/>
    <mergeCell ref="G4:G6"/>
    <mergeCell ref="G7:G9"/>
    <mergeCell ref="H4:H9"/>
    <mergeCell ref="I4:I9"/>
    <mergeCell ref="AM4:AM9"/>
    <mergeCell ref="F4:F6"/>
    <mergeCell ref="L4:L6"/>
    <mergeCell ref="AJ4:AJ9"/>
    <mergeCell ref="AG1:AI2"/>
    <mergeCell ref="AB1:AF2"/>
    <mergeCell ref="X1:AA2"/>
    <mergeCell ref="R1:W2"/>
    <mergeCell ref="J5:K5"/>
    <mergeCell ref="C1:I1"/>
    <mergeCell ref="J4:K4"/>
    <mergeCell ref="J9:K9"/>
    <mergeCell ref="J8:K8"/>
    <mergeCell ref="J7:K7"/>
    <mergeCell ref="J6:K6"/>
    <mergeCell ref="O4:O9"/>
  </mergeCells>
  <printOptions/>
  <pageMargins left="0.75" right="0.75" top="1" bottom="1" header="0.5" footer="0.5"/>
  <pageSetup fitToHeight="1" fitToWidth="1" horizontalDpi="600" verticalDpi="600" orientation="landscape" scale="1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C9"/>
  <sheetViews>
    <sheetView zoomScale="85" zoomScaleNormal="85" workbookViewId="0" topLeftCell="A1">
      <pane ySplit="3" topLeftCell="BM4" activePane="bottomLeft" state="frozen"/>
      <selection pane="topLeft" activeCell="A1" sqref="A1"/>
      <selection pane="bottomLeft" activeCell="D17" sqref="D17"/>
    </sheetView>
  </sheetViews>
  <sheetFormatPr defaultColWidth="8.8515625" defaultRowHeight="12.75"/>
  <cols>
    <col min="1" max="1" width="8.8515625" style="0" customWidth="1"/>
    <col min="2" max="2" width="10.421875" style="0" bestFit="1" customWidth="1"/>
    <col min="3" max="3" width="9.8515625" style="48" bestFit="1" customWidth="1"/>
    <col min="4" max="4" width="8.8515625" style="0" customWidth="1"/>
    <col min="5" max="5" width="10.00390625" style="52" bestFit="1" customWidth="1"/>
    <col min="6" max="6" width="9.140625" style="50" customWidth="1"/>
    <col min="7" max="7" width="8.8515625" style="0" customWidth="1"/>
    <col min="8" max="8" width="9.140625" style="36" customWidth="1"/>
    <col min="9" max="9" width="10.8515625" style="41" customWidth="1"/>
    <col min="10" max="10" width="10.00390625" style="48" customWidth="1"/>
    <col min="11" max="11" width="9.140625" style="53" customWidth="1"/>
    <col min="12" max="12" width="9.140625" style="64" customWidth="1"/>
    <col min="13" max="13" width="9.140625" style="51" customWidth="1"/>
    <col min="14" max="14" width="9.140625" style="23" customWidth="1"/>
    <col min="15" max="15" width="8.8515625" style="0" customWidth="1"/>
    <col min="16" max="16" width="10.00390625" style="48" customWidth="1"/>
    <col min="17" max="17" width="9.140625" style="53" customWidth="1"/>
    <col min="18" max="18" width="9.140625" style="50" customWidth="1"/>
    <col min="19" max="19" width="8.8515625" style="0" customWidth="1"/>
    <col min="20" max="20" width="9.140625" style="23" customWidth="1"/>
    <col min="21" max="21" width="9.140625" style="48" customWidth="1"/>
    <col min="22" max="22" width="10.00390625" style="48" customWidth="1"/>
    <col min="23" max="23" width="9.140625" style="53" customWidth="1"/>
    <col min="24" max="25" width="8.8515625" style="0" customWidth="1"/>
    <col min="26" max="26" width="9.140625" style="23" customWidth="1"/>
    <col min="27" max="28" width="9.140625" style="48" customWidth="1"/>
    <col min="29" max="29" width="9.140625" style="67" customWidth="1"/>
  </cols>
  <sheetData>
    <row r="1" spans="3:29" s="5" customFormat="1" ht="12">
      <c r="C1" s="59"/>
      <c r="D1" s="37"/>
      <c r="E1" s="56"/>
      <c r="F1" s="161" t="s">
        <v>13</v>
      </c>
      <c r="G1" s="162"/>
      <c r="H1" s="162"/>
      <c r="I1" s="162"/>
      <c r="J1" s="162"/>
      <c r="K1" s="163"/>
      <c r="L1" s="161" t="s">
        <v>14</v>
      </c>
      <c r="M1" s="162"/>
      <c r="N1" s="162"/>
      <c r="O1" s="162"/>
      <c r="P1" s="162"/>
      <c r="Q1" s="163"/>
      <c r="R1" s="161" t="s">
        <v>15</v>
      </c>
      <c r="S1" s="162"/>
      <c r="T1" s="162"/>
      <c r="U1" s="162"/>
      <c r="V1" s="162"/>
      <c r="W1" s="163"/>
      <c r="X1" s="164" t="s">
        <v>52</v>
      </c>
      <c r="Y1" s="165"/>
      <c r="Z1" s="165"/>
      <c r="AA1" s="165"/>
      <c r="AB1" s="165"/>
      <c r="AC1" s="165"/>
    </row>
    <row r="2" spans="1:29" s="5" customFormat="1" ht="12">
      <c r="A2" s="39" t="s">
        <v>128</v>
      </c>
      <c r="B2" s="38" t="s">
        <v>126</v>
      </c>
      <c r="C2" s="60" t="s">
        <v>1</v>
      </c>
      <c r="D2" s="5" t="s">
        <v>9</v>
      </c>
      <c r="E2" s="57" t="s">
        <v>5</v>
      </c>
      <c r="F2" s="62" t="s">
        <v>125</v>
      </c>
      <c r="G2" s="42" t="s">
        <v>0</v>
      </c>
      <c r="H2" s="45" t="s">
        <v>3</v>
      </c>
      <c r="I2" s="40" t="s">
        <v>129</v>
      </c>
      <c r="J2" s="60" t="s">
        <v>2</v>
      </c>
      <c r="K2" s="54" t="s">
        <v>6</v>
      </c>
      <c r="L2" s="62" t="s">
        <v>125</v>
      </c>
      <c r="M2" s="65" t="s">
        <v>0</v>
      </c>
      <c r="N2" s="45" t="s">
        <v>3</v>
      </c>
      <c r="O2" s="40" t="s">
        <v>129</v>
      </c>
      <c r="P2" s="60" t="s">
        <v>2</v>
      </c>
      <c r="Q2" s="54" t="s">
        <v>6</v>
      </c>
      <c r="R2" s="62" t="s">
        <v>125</v>
      </c>
      <c r="S2" s="42" t="s">
        <v>0</v>
      </c>
      <c r="T2" s="45" t="s">
        <v>3</v>
      </c>
      <c r="U2" s="66" t="s">
        <v>129</v>
      </c>
      <c r="V2" s="60" t="s">
        <v>2</v>
      </c>
      <c r="W2" s="54" t="s">
        <v>6</v>
      </c>
      <c r="X2" s="38" t="s">
        <v>125</v>
      </c>
      <c r="Y2" s="42" t="s">
        <v>0</v>
      </c>
      <c r="Z2" s="45" t="s">
        <v>3</v>
      </c>
      <c r="AA2" s="66" t="s">
        <v>129</v>
      </c>
      <c r="AB2" s="60" t="s">
        <v>2</v>
      </c>
      <c r="AC2" s="54" t="s">
        <v>6</v>
      </c>
    </row>
    <row r="3" spans="1:29" s="6" customFormat="1" ht="12.75" thickBot="1">
      <c r="A3" s="6" t="s">
        <v>11</v>
      </c>
      <c r="B3" s="6" t="s">
        <v>12</v>
      </c>
      <c r="C3" s="61" t="s">
        <v>7</v>
      </c>
      <c r="D3" s="6" t="s">
        <v>10</v>
      </c>
      <c r="E3" s="58" t="s">
        <v>7</v>
      </c>
      <c r="F3" s="63"/>
      <c r="G3" s="43" t="s">
        <v>51</v>
      </c>
      <c r="H3" s="46" t="s">
        <v>51</v>
      </c>
      <c r="I3" s="44" t="s">
        <v>50</v>
      </c>
      <c r="J3" s="61" t="s">
        <v>4</v>
      </c>
      <c r="K3" s="55" t="s">
        <v>8</v>
      </c>
      <c r="L3" s="63"/>
      <c r="M3" s="43" t="s">
        <v>51</v>
      </c>
      <c r="N3" s="46" t="s">
        <v>51</v>
      </c>
      <c r="O3" s="44" t="s">
        <v>50</v>
      </c>
      <c r="P3" s="61" t="s">
        <v>4</v>
      </c>
      <c r="Q3" s="55" t="s">
        <v>8</v>
      </c>
      <c r="R3" s="63"/>
      <c r="S3" s="43" t="s">
        <v>51</v>
      </c>
      <c r="T3" s="46" t="s">
        <v>51</v>
      </c>
      <c r="U3" s="44" t="s">
        <v>50</v>
      </c>
      <c r="V3" s="61" t="s">
        <v>4</v>
      </c>
      <c r="W3" s="55" t="s">
        <v>8</v>
      </c>
      <c r="Y3" s="43" t="s">
        <v>51</v>
      </c>
      <c r="Z3" s="46" t="s">
        <v>51</v>
      </c>
      <c r="AA3" s="44" t="s">
        <v>50</v>
      </c>
      <c r="AB3" s="61" t="s">
        <v>4</v>
      </c>
      <c r="AC3" s="55" t="s">
        <v>8</v>
      </c>
    </row>
    <row r="4" spans="1:29" s="12" customFormat="1" ht="12">
      <c r="A4" s="125">
        <v>1</v>
      </c>
      <c r="B4" s="17" t="s">
        <v>127</v>
      </c>
      <c r="C4" s="126">
        <v>250000</v>
      </c>
      <c r="D4" s="12">
        <v>0.85</v>
      </c>
      <c r="E4" s="127">
        <f aca="true" t="shared" si="0" ref="E4:E9">D4*C4</f>
        <v>212500</v>
      </c>
      <c r="F4" s="128">
        <f>'COMPILED DATA'!R4</f>
        <v>0.0013</v>
      </c>
      <c r="G4" s="17">
        <f>F4*2.5</f>
        <v>0.00325</v>
      </c>
      <c r="H4" s="47">
        <f aca="true" t="shared" si="1" ref="H4:H9">A4*G4</f>
        <v>0.00325</v>
      </c>
      <c r="I4" s="129">
        <f>'COMPILED DATA'!W4</f>
        <v>245</v>
      </c>
      <c r="J4" s="126">
        <f aca="true" t="shared" si="2" ref="J4:J9">I4/G4</f>
        <v>75384.61538461539</v>
      </c>
      <c r="K4" s="53">
        <f aca="true" t="shared" si="3" ref="K4:K9">(J4/E4)*H4*(1000/9.81)</f>
        <v>0.11752713317742998</v>
      </c>
      <c r="L4" s="128">
        <f>'COMPILED DATA'!X4</f>
        <v>0.006</v>
      </c>
      <c r="M4" s="19">
        <f>L4*2.5</f>
        <v>0.015</v>
      </c>
      <c r="N4" s="47">
        <f aca="true" t="shared" si="4" ref="N4:N9">$A4*M4</f>
        <v>0.015</v>
      </c>
      <c r="O4" s="130">
        <f>'COMPILED DATA'!AA4</f>
        <v>270</v>
      </c>
      <c r="P4" s="126">
        <f aca="true" t="shared" si="5" ref="P4:P9">O4/M4</f>
        <v>18000</v>
      </c>
      <c r="Q4" s="53">
        <f aca="true" t="shared" si="6" ref="Q4:Q9">(P4/$E4)*N4*(1000/9.81)</f>
        <v>0.12951969778737182</v>
      </c>
      <c r="R4" s="128">
        <f>'COMPILED DATA'!AB4</f>
        <v>0.006</v>
      </c>
      <c r="S4" s="19">
        <f>R4*2.5</f>
        <v>0.015</v>
      </c>
      <c r="T4" s="47">
        <f aca="true" t="shared" si="7" ref="T4:T9">$A4*S4</f>
        <v>0.015</v>
      </c>
      <c r="U4" s="130">
        <f>'COMPILED DATA'!AF4</f>
        <v>270</v>
      </c>
      <c r="V4" s="126">
        <f aca="true" t="shared" si="8" ref="V4:V9">U4/S4</f>
        <v>18000</v>
      </c>
      <c r="W4" s="53">
        <f aca="true" t="shared" si="9" ref="W4:W9">(V4/$E4)*T4*(1000/9.81)</f>
        <v>0.12951969778737182</v>
      </c>
      <c r="X4" s="128"/>
      <c r="Y4" s="17"/>
      <c r="Z4" s="47"/>
      <c r="AA4" s="130"/>
      <c r="AB4" s="126"/>
      <c r="AC4" s="53"/>
    </row>
    <row r="5" spans="1:29" s="12" customFormat="1" ht="12">
      <c r="A5" s="125">
        <v>1</v>
      </c>
      <c r="B5" s="12">
        <v>2.5</v>
      </c>
      <c r="C5" s="126">
        <v>250000</v>
      </c>
      <c r="D5" s="12">
        <v>0.85</v>
      </c>
      <c r="E5" s="127">
        <f t="shared" si="0"/>
        <v>212500</v>
      </c>
      <c r="F5" s="128">
        <f>'COMPILED DATA'!R5</f>
        <v>0.0013</v>
      </c>
      <c r="G5" s="17">
        <f>F5*B5</f>
        <v>0.00325</v>
      </c>
      <c r="H5" s="47">
        <f t="shared" si="1"/>
        <v>0.00325</v>
      </c>
      <c r="I5" s="131">
        <f>'COMPILED DATA'!W5</f>
        <v>265</v>
      </c>
      <c r="J5" s="126">
        <f t="shared" si="2"/>
        <v>81538.46153846155</v>
      </c>
      <c r="K5" s="53">
        <f t="shared" si="3"/>
        <v>0.12712118486538346</v>
      </c>
      <c r="L5" s="128">
        <f>'COMPILED DATA'!X5</f>
        <v>0.003</v>
      </c>
      <c r="M5" s="19">
        <f>L5*$B5</f>
        <v>0.0075</v>
      </c>
      <c r="N5" s="47">
        <f t="shared" si="4"/>
        <v>0.0075</v>
      </c>
      <c r="O5" s="132">
        <f>'COMPILED DATA'!AA5</f>
        <v>305</v>
      </c>
      <c r="P5" s="126">
        <f t="shared" si="5"/>
        <v>40666.66666666667</v>
      </c>
      <c r="Q5" s="53">
        <f t="shared" si="6"/>
        <v>0.14630928824129041</v>
      </c>
      <c r="R5" s="128">
        <f>'COMPILED DATA'!AB5</f>
        <v>0.005</v>
      </c>
      <c r="S5" s="19">
        <f>R5*$B5</f>
        <v>0.0125</v>
      </c>
      <c r="T5" s="47">
        <f t="shared" si="7"/>
        <v>0.0125</v>
      </c>
      <c r="U5" s="130">
        <f>'COMPILED DATA'!AF5</f>
        <v>259.25</v>
      </c>
      <c r="V5" s="126">
        <f t="shared" si="8"/>
        <v>20740</v>
      </c>
      <c r="W5" s="53">
        <f t="shared" si="9"/>
        <v>0.12436289500509685</v>
      </c>
      <c r="X5" s="128">
        <f>'COMPILED DATA'!AG5</f>
        <v>0.012</v>
      </c>
      <c r="Y5" s="19">
        <f>X5*2.5</f>
        <v>0.03</v>
      </c>
      <c r="Z5" s="47">
        <f>$A5*Y5</f>
        <v>0.03</v>
      </c>
      <c r="AA5" s="130">
        <f>'COMPILED DATA'!AI5</f>
        <v>165</v>
      </c>
      <c r="AB5" s="126">
        <f>AA5/Y5</f>
        <v>5500</v>
      </c>
      <c r="AC5" s="53">
        <f>(AB5/$E5)*Z5*(1000/9.81)</f>
        <v>0.07915092642561611</v>
      </c>
    </row>
    <row r="6" spans="1:29" s="12" customFormat="1" ht="12">
      <c r="A6" s="125">
        <v>1</v>
      </c>
      <c r="B6" s="12">
        <v>2.5</v>
      </c>
      <c r="C6" s="126">
        <v>250000</v>
      </c>
      <c r="D6" s="12">
        <v>0.85</v>
      </c>
      <c r="E6" s="127">
        <f t="shared" si="0"/>
        <v>212500</v>
      </c>
      <c r="F6" s="128">
        <f>'COMPILED DATA'!R6</f>
        <v>0.0013</v>
      </c>
      <c r="G6" s="17">
        <f>F6*B6</f>
        <v>0.00325</v>
      </c>
      <c r="H6" s="47">
        <f t="shared" si="1"/>
        <v>0.00325</v>
      </c>
      <c r="I6" s="131">
        <f>'COMPILED DATA'!W6</f>
        <v>270</v>
      </c>
      <c r="J6" s="126">
        <f t="shared" si="2"/>
        <v>83076.92307692308</v>
      </c>
      <c r="K6" s="53">
        <f t="shared" si="3"/>
        <v>0.12951969778737182</v>
      </c>
      <c r="L6" s="128">
        <f>'COMPILED DATA'!X6</f>
        <v>0.007</v>
      </c>
      <c r="M6" s="19">
        <f>L6*$B6</f>
        <v>0.0175</v>
      </c>
      <c r="N6" s="47">
        <f t="shared" si="4"/>
        <v>0.0175</v>
      </c>
      <c r="O6" s="132">
        <f>'COMPILED DATA'!AA6</f>
        <v>460</v>
      </c>
      <c r="P6" s="126">
        <f t="shared" si="5"/>
        <v>26285.714285714283</v>
      </c>
      <c r="Q6" s="53">
        <f t="shared" si="6"/>
        <v>0.22066318882292976</v>
      </c>
      <c r="R6" s="128">
        <f>'COMPILED DATA'!AB6</f>
        <v>0.008</v>
      </c>
      <c r="S6" s="19">
        <f>R6*$B6</f>
        <v>0.02</v>
      </c>
      <c r="T6" s="47">
        <f t="shared" si="7"/>
        <v>0.02</v>
      </c>
      <c r="U6" s="130">
        <f>'COMPILED DATA'!AF6</f>
        <v>391</v>
      </c>
      <c r="V6" s="126">
        <f t="shared" si="8"/>
        <v>19550</v>
      </c>
      <c r="W6" s="53">
        <f t="shared" si="9"/>
        <v>0.1875637104994903</v>
      </c>
      <c r="X6" s="128">
        <f>'COMPILED DATA'!AG6</f>
        <v>0.0135</v>
      </c>
      <c r="Y6" s="19">
        <f>X6*2.5</f>
        <v>0.03375</v>
      </c>
      <c r="Z6" s="47">
        <f>$A6*Y6</f>
        <v>0.03375</v>
      </c>
      <c r="AA6" s="130">
        <f>'COMPILED DATA'!AI6</f>
        <v>150</v>
      </c>
      <c r="AB6" s="126">
        <f>AA6/Y6</f>
        <v>4444.444444444444</v>
      </c>
      <c r="AC6" s="53">
        <f>(AB6/$E6)*Z6*(1000/9.81)</f>
        <v>0.07195538765965102</v>
      </c>
    </row>
    <row r="7" spans="1:29" s="12" customFormat="1" ht="12">
      <c r="A7" s="125">
        <v>1</v>
      </c>
      <c r="B7" s="12">
        <v>2.5</v>
      </c>
      <c r="C7" s="126">
        <v>250000</v>
      </c>
      <c r="D7" s="12">
        <v>0.85</v>
      </c>
      <c r="E7" s="127">
        <f t="shared" si="0"/>
        <v>212500</v>
      </c>
      <c r="F7" s="128">
        <f>'COMPILED DATA'!R7</f>
        <v>0.001</v>
      </c>
      <c r="G7" s="17">
        <f>F7*B7</f>
        <v>0.0025</v>
      </c>
      <c r="H7" s="47">
        <f t="shared" si="1"/>
        <v>0.0025</v>
      </c>
      <c r="I7" s="131">
        <f>'COMPILED DATA'!W7</f>
        <v>94.6</v>
      </c>
      <c r="J7" s="126">
        <f t="shared" si="2"/>
        <v>37840</v>
      </c>
      <c r="K7" s="53">
        <f t="shared" si="3"/>
        <v>0.045379864484019906</v>
      </c>
      <c r="L7" s="128">
        <f>'COMPILED DATA'!X7</f>
        <v>0.00455</v>
      </c>
      <c r="M7" s="19">
        <f>L7*$B7</f>
        <v>0.011375</v>
      </c>
      <c r="N7" s="47">
        <f t="shared" si="4"/>
        <v>0.011375</v>
      </c>
      <c r="O7" s="132">
        <f>'COMPILED DATA'!AA7</f>
        <v>140.5</v>
      </c>
      <c r="P7" s="126">
        <f t="shared" si="5"/>
        <v>12351.648351648351</v>
      </c>
      <c r="Q7" s="53">
        <f t="shared" si="6"/>
        <v>0.06739821310787311</v>
      </c>
      <c r="R7" s="128">
        <f>'COMPILED DATA'!AB7</f>
        <v>0.0105</v>
      </c>
      <c r="S7" s="19">
        <f>R7*$B7</f>
        <v>0.026250000000000002</v>
      </c>
      <c r="T7" s="47">
        <f t="shared" si="7"/>
        <v>0.026250000000000002</v>
      </c>
      <c r="U7" s="130">
        <f>'COMPILED DATA'!AF7</f>
        <v>65</v>
      </c>
      <c r="V7" s="126">
        <f t="shared" si="8"/>
        <v>2476.190476190476</v>
      </c>
      <c r="W7" s="53">
        <f t="shared" si="9"/>
        <v>0.031180667985848776</v>
      </c>
      <c r="X7" s="128"/>
      <c r="Y7" s="19"/>
      <c r="Z7" s="47"/>
      <c r="AA7" s="130"/>
      <c r="AB7" s="126"/>
      <c r="AC7" s="53"/>
    </row>
    <row r="8" spans="1:29" s="12" customFormat="1" ht="12">
      <c r="A8" s="125">
        <v>1</v>
      </c>
      <c r="B8" s="12">
        <v>2.5</v>
      </c>
      <c r="C8" s="126">
        <v>250000</v>
      </c>
      <c r="D8" s="12">
        <v>0.85</v>
      </c>
      <c r="E8" s="127">
        <f t="shared" si="0"/>
        <v>212500</v>
      </c>
      <c r="F8" s="128">
        <f>'COMPILED DATA'!R8</f>
        <v>0.0013</v>
      </c>
      <c r="G8" s="17">
        <f>F8*B8</f>
        <v>0.00325</v>
      </c>
      <c r="H8" s="47">
        <f t="shared" si="1"/>
        <v>0.00325</v>
      </c>
      <c r="I8" s="132">
        <f>'COMPILED DATA'!W8</f>
        <v>134.375</v>
      </c>
      <c r="J8" s="126">
        <f t="shared" si="2"/>
        <v>41346.15384615385</v>
      </c>
      <c r="K8" s="53">
        <f t="shared" si="3"/>
        <v>0.06446003477843737</v>
      </c>
      <c r="L8" s="128">
        <f>'COMPILED DATA'!X8</f>
        <v>0.007</v>
      </c>
      <c r="M8" s="19">
        <f>L8*$B8</f>
        <v>0.0175</v>
      </c>
      <c r="N8" s="47">
        <f t="shared" si="4"/>
        <v>0.0175</v>
      </c>
      <c r="O8" s="132">
        <f>'COMPILED DATA'!AA8</f>
        <v>181.25</v>
      </c>
      <c r="P8" s="126">
        <f t="shared" si="5"/>
        <v>10357.142857142857</v>
      </c>
      <c r="Q8" s="53">
        <f t="shared" si="6"/>
        <v>0.08694609342207832</v>
      </c>
      <c r="R8" s="128">
        <f>'COMPILED DATA'!AB8</f>
        <v>0.01</v>
      </c>
      <c r="S8" s="19">
        <f>R8*$B8</f>
        <v>0.025</v>
      </c>
      <c r="T8" s="47">
        <f t="shared" si="7"/>
        <v>0.025</v>
      </c>
      <c r="U8" s="130">
        <f>'COMPILED DATA'!AF8</f>
        <v>154.06249999999997</v>
      </c>
      <c r="V8" s="126">
        <f t="shared" si="8"/>
        <v>6162.499999999998</v>
      </c>
      <c r="W8" s="53">
        <f t="shared" si="9"/>
        <v>0.07390417940876655</v>
      </c>
      <c r="X8" s="128">
        <f>'COMPILED DATA'!AG8</f>
        <v>0.0145</v>
      </c>
      <c r="Y8" s="19">
        <f>X8*2.5</f>
        <v>0.036250000000000004</v>
      </c>
      <c r="Z8" s="47">
        <f>$A8*Y8</f>
        <v>0.036250000000000004</v>
      </c>
      <c r="AA8" s="130">
        <f>'COMPILED DATA'!AI8</f>
        <v>131.25</v>
      </c>
      <c r="AB8" s="126">
        <f>AA8/Y8</f>
        <v>3620.6896551724135</v>
      </c>
      <c r="AC8" s="53">
        <f>(AB8/$E8)*Z8*(1000/9.81)</f>
        <v>0.06296096420219464</v>
      </c>
    </row>
    <row r="9" spans="1:29" s="12" customFormat="1" ht="12">
      <c r="A9" s="125">
        <v>1</v>
      </c>
      <c r="B9" s="12">
        <v>2.5</v>
      </c>
      <c r="C9" s="126">
        <v>250000</v>
      </c>
      <c r="D9" s="12">
        <v>0.85</v>
      </c>
      <c r="E9" s="127">
        <f t="shared" si="0"/>
        <v>212500</v>
      </c>
      <c r="F9" s="128">
        <f>'COMPILED DATA'!R9</f>
        <v>0.0013</v>
      </c>
      <c r="G9" s="17">
        <f>F9*B9</f>
        <v>0.00325</v>
      </c>
      <c r="H9" s="47">
        <f t="shared" si="1"/>
        <v>0.00325</v>
      </c>
      <c r="I9" s="132">
        <f>'COMPILED DATA'!W9</f>
        <v>106.25</v>
      </c>
      <c r="J9" s="126">
        <f t="shared" si="2"/>
        <v>32692.307692307695</v>
      </c>
      <c r="K9" s="53">
        <f t="shared" si="3"/>
        <v>0.0509683995922528</v>
      </c>
      <c r="L9" s="128">
        <f>'COMPILED DATA'!X9</f>
        <v>0.007</v>
      </c>
      <c r="M9" s="19">
        <f>L9*$B9</f>
        <v>0.0175</v>
      </c>
      <c r="N9" s="47">
        <f t="shared" si="4"/>
        <v>0.0175</v>
      </c>
      <c r="O9" s="132">
        <f>'COMPILED DATA'!AA9</f>
        <v>165.625</v>
      </c>
      <c r="P9" s="126">
        <f t="shared" si="5"/>
        <v>9464.285714285714</v>
      </c>
      <c r="Q9" s="53">
        <f t="shared" si="6"/>
        <v>0.07945074054086465</v>
      </c>
      <c r="R9" s="128">
        <f>'COMPILED DATA'!AB9</f>
        <v>0.017</v>
      </c>
      <c r="S9" s="19">
        <f>R9*$B9</f>
        <v>0.0425</v>
      </c>
      <c r="T9" s="47">
        <f t="shared" si="7"/>
        <v>0.0425</v>
      </c>
      <c r="U9" s="130">
        <f>'COMPILED DATA'!AF9</f>
        <v>137.5</v>
      </c>
      <c r="V9" s="126">
        <f t="shared" si="8"/>
        <v>3235.2941176470586</v>
      </c>
      <c r="W9" s="53">
        <f t="shared" si="9"/>
        <v>0.0659591053546801</v>
      </c>
      <c r="X9" s="128">
        <f>'COMPILED DATA'!AG9</f>
        <v>0.02</v>
      </c>
      <c r="Y9" s="19">
        <f>X9*2.5</f>
        <v>0.05</v>
      </c>
      <c r="Z9" s="47">
        <f>$A9*Y9</f>
        <v>0.05</v>
      </c>
      <c r="AA9" s="130">
        <f>'COMPILED DATA'!AI9</f>
        <v>118.75</v>
      </c>
      <c r="AB9" s="126">
        <f>AA9/Y9</f>
        <v>2375</v>
      </c>
      <c r="AC9" s="53">
        <f>(AB9/$E9)*Z9*(1000/9.81)</f>
        <v>0.05696468189722372</v>
      </c>
    </row>
  </sheetData>
  <mergeCells count="4">
    <mergeCell ref="F1:K1"/>
    <mergeCell ref="L1:Q1"/>
    <mergeCell ref="R1:W1"/>
    <mergeCell ref="X1:AC1"/>
  </mergeCells>
  <printOptions/>
  <pageMargins left="0.75" right="0.75" top="1" bottom="1" header="0.5" footer="0.5"/>
  <pageSetup fitToHeight="1" fitToWidth="1" horizontalDpi="600" verticalDpi="600" orientation="landscape" scale="4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2">
      <selection activeCell="E35" sqref="E35"/>
    </sheetView>
  </sheetViews>
  <sheetFormatPr defaultColWidth="8.8515625" defaultRowHeight="12.75"/>
  <sheetData>
    <row r="1" ht="12">
      <c r="A1" t="s">
        <v>16</v>
      </c>
    </row>
    <row r="4" spans="1:11" ht="12">
      <c r="A4" t="s">
        <v>25</v>
      </c>
      <c r="C4" t="s">
        <v>37</v>
      </c>
      <c r="E4" t="s">
        <v>26</v>
      </c>
      <c r="G4" t="s">
        <v>22</v>
      </c>
      <c r="I4" t="s">
        <v>27</v>
      </c>
      <c r="K4" t="s">
        <v>19</v>
      </c>
    </row>
    <row r="5" spans="1:11" ht="12">
      <c r="A5" t="s">
        <v>17</v>
      </c>
      <c r="B5" t="s">
        <v>24</v>
      </c>
      <c r="C5" t="s">
        <v>23</v>
      </c>
      <c r="E5" t="s">
        <v>17</v>
      </c>
      <c r="F5" t="s">
        <v>24</v>
      </c>
      <c r="G5" t="s">
        <v>23</v>
      </c>
      <c r="I5" t="s">
        <v>17</v>
      </c>
      <c r="J5" t="s">
        <v>24</v>
      </c>
      <c r="K5" t="s">
        <v>23</v>
      </c>
    </row>
    <row r="6" spans="1:11" ht="12">
      <c r="A6" t="s">
        <v>18</v>
      </c>
      <c r="B6">
        <v>0</v>
      </c>
      <c r="C6">
        <v>0</v>
      </c>
      <c r="E6" t="s">
        <v>18</v>
      </c>
      <c r="F6">
        <v>0</v>
      </c>
      <c r="G6">
        <v>0</v>
      </c>
      <c r="I6" t="s">
        <v>18</v>
      </c>
      <c r="J6">
        <v>0</v>
      </c>
      <c r="K6">
        <v>0</v>
      </c>
    </row>
    <row r="7" spans="1:11" ht="12">
      <c r="A7" t="s">
        <v>19</v>
      </c>
      <c r="B7">
        <f>'Spectral Conv.'!H4*39.37</f>
        <v>0.1279525</v>
      </c>
      <c r="C7">
        <f>'Spectral Conv.'!K4</f>
        <v>0.11752713317742998</v>
      </c>
      <c r="E7" t="s">
        <v>19</v>
      </c>
      <c r="F7">
        <f>'Spectral Conv.'!H5*39.37</f>
        <v>0.1279525</v>
      </c>
      <c r="G7">
        <f>'Spectral Conv.'!K5</f>
        <v>0.12712118486538346</v>
      </c>
      <c r="I7" t="s">
        <v>19</v>
      </c>
      <c r="J7">
        <f>'Spectral Conv.'!H6*39.37</f>
        <v>0.1279525</v>
      </c>
      <c r="K7">
        <f>'Spectral Conv.'!K6</f>
        <v>0.12951969778737182</v>
      </c>
    </row>
    <row r="8" spans="1:11" ht="12">
      <c r="A8" t="s">
        <v>20</v>
      </c>
      <c r="B8">
        <f>'Spectral Conv.'!N4*39.37</f>
        <v>0.5905499999999999</v>
      </c>
      <c r="C8">
        <f>'Spectral Conv.'!Q4</f>
        <v>0.12951969778737182</v>
      </c>
      <c r="E8" t="s">
        <v>20</v>
      </c>
      <c r="F8">
        <f>'Spectral Conv.'!N5*39.37</f>
        <v>0.29527499999999995</v>
      </c>
      <c r="G8">
        <f>'Spectral Conv.'!Q5</f>
        <v>0.14630928824129041</v>
      </c>
      <c r="I8" t="s">
        <v>20</v>
      </c>
      <c r="J8">
        <f>'Spectral Conv.'!N6*39.37</f>
        <v>0.688975</v>
      </c>
      <c r="K8">
        <f>'Spectral Conv.'!Q6</f>
        <v>0.22066318882292976</v>
      </c>
    </row>
    <row r="9" spans="1:11" ht="12">
      <c r="A9" t="s">
        <v>21</v>
      </c>
      <c r="B9">
        <f>'Spectral Conv.'!T4*39.37</f>
        <v>0.5905499999999999</v>
      </c>
      <c r="C9">
        <f>'Spectral Conv.'!W4</f>
        <v>0.12951969778737182</v>
      </c>
      <c r="E9" t="s">
        <v>21</v>
      </c>
      <c r="F9">
        <f>'Spectral Conv.'!T5*39.37</f>
        <v>0.492125</v>
      </c>
      <c r="G9">
        <f>'Spectral Conv.'!W5</f>
        <v>0.12436289500509685</v>
      </c>
      <c r="I9" t="s">
        <v>21</v>
      </c>
      <c r="J9">
        <f>'Spectral Conv.'!T6*39.37</f>
        <v>0.7874</v>
      </c>
      <c r="K9">
        <f>'Spectral Conv.'!W6</f>
        <v>0.1875637104994903</v>
      </c>
    </row>
    <row r="10" spans="1:11" ht="12">
      <c r="A10" t="s">
        <v>22</v>
      </c>
      <c r="E10" t="s">
        <v>22</v>
      </c>
      <c r="F10">
        <f>'Spectral Conv.'!Z5*39.37</f>
        <v>1.1810999999999998</v>
      </c>
      <c r="G10">
        <f>'Spectral Conv.'!AC5</f>
        <v>0.07915092642561611</v>
      </c>
      <c r="I10" t="s">
        <v>22</v>
      </c>
      <c r="J10">
        <f>'Spectral Conv.'!Z6*39.37</f>
        <v>1.3287375</v>
      </c>
      <c r="K10">
        <f>'Spectral Conv.'!AC6</f>
        <v>0.07195538765965102</v>
      </c>
    </row>
    <row r="14" spans="1:11" ht="12">
      <c r="A14" t="s">
        <v>28</v>
      </c>
      <c r="C14" t="s">
        <v>38</v>
      </c>
      <c r="E14" t="s">
        <v>29</v>
      </c>
      <c r="G14" t="s">
        <v>39</v>
      </c>
      <c r="I14" t="s">
        <v>30</v>
      </c>
      <c r="K14" t="s">
        <v>40</v>
      </c>
    </row>
    <row r="15" spans="1:11" ht="12">
      <c r="A15" t="s">
        <v>17</v>
      </c>
      <c r="B15" t="s">
        <v>24</v>
      </c>
      <c r="C15" t="s">
        <v>23</v>
      </c>
      <c r="E15" t="s">
        <v>17</v>
      </c>
      <c r="F15" t="s">
        <v>24</v>
      </c>
      <c r="G15" t="s">
        <v>23</v>
      </c>
      <c r="I15" t="s">
        <v>17</v>
      </c>
      <c r="J15" t="s">
        <v>24</v>
      </c>
      <c r="K15" t="s">
        <v>23</v>
      </c>
    </row>
    <row r="16" spans="1:11" ht="12">
      <c r="A16" t="s">
        <v>18</v>
      </c>
      <c r="B16">
        <v>0</v>
      </c>
      <c r="C16">
        <v>0</v>
      </c>
      <c r="E16" t="s">
        <v>18</v>
      </c>
      <c r="F16">
        <v>0</v>
      </c>
      <c r="G16">
        <v>0</v>
      </c>
      <c r="I16" t="s">
        <v>18</v>
      </c>
      <c r="J16">
        <v>0</v>
      </c>
      <c r="K16">
        <v>0</v>
      </c>
    </row>
    <row r="17" spans="1:11" ht="12">
      <c r="A17" t="s">
        <v>19</v>
      </c>
      <c r="B17">
        <f>'Spectral Conv.'!H7*39.37</f>
        <v>0.098425</v>
      </c>
      <c r="C17">
        <f>'Spectral Conv.'!K7</f>
        <v>0.045379864484019906</v>
      </c>
      <c r="E17" t="s">
        <v>19</v>
      </c>
      <c r="F17">
        <f>'Spectral Conv.'!H8*39.37</f>
        <v>0.1279525</v>
      </c>
      <c r="G17">
        <f>'Spectral Conv.'!K8</f>
        <v>0.06446003477843737</v>
      </c>
      <c r="I17" t="s">
        <v>19</v>
      </c>
      <c r="J17">
        <f>'Spectral Conv.'!H9*39.37</f>
        <v>0.1279525</v>
      </c>
      <c r="K17">
        <f>'Spectral Conv.'!K9</f>
        <v>0.0509683995922528</v>
      </c>
    </row>
    <row r="18" spans="1:11" ht="12">
      <c r="A18" t="s">
        <v>20</v>
      </c>
      <c r="B18">
        <f>'Spectral Conv.'!N7*39.37</f>
        <v>0.44783375</v>
      </c>
      <c r="C18">
        <f>'Spectral Conv.'!Q7</f>
        <v>0.06739821310787311</v>
      </c>
      <c r="E18" t="s">
        <v>20</v>
      </c>
      <c r="F18">
        <f>'Spectral Conv.'!N8*39.37</f>
        <v>0.688975</v>
      </c>
      <c r="G18">
        <f>'Spectral Conv.'!Q8</f>
        <v>0.08694609342207832</v>
      </c>
      <c r="I18" t="s">
        <v>20</v>
      </c>
      <c r="J18">
        <f>'Spectral Conv.'!N9*39.37</f>
        <v>0.688975</v>
      </c>
      <c r="K18">
        <f>'Spectral Conv.'!Q9</f>
        <v>0.07945074054086465</v>
      </c>
    </row>
    <row r="19" spans="1:11" ht="12">
      <c r="A19" t="s">
        <v>21</v>
      </c>
      <c r="B19">
        <f>'Spectral Conv.'!T7*39.37</f>
        <v>1.0334625</v>
      </c>
      <c r="C19">
        <f>'Spectral Conv.'!W7</f>
        <v>0.031180667985848776</v>
      </c>
      <c r="E19" t="s">
        <v>21</v>
      </c>
      <c r="F19">
        <f>'Spectral Conv.'!T8*39.37</f>
        <v>0.98425</v>
      </c>
      <c r="G19">
        <f>'Spectral Conv.'!W8</f>
        <v>0.07390417940876655</v>
      </c>
      <c r="I19" t="s">
        <v>21</v>
      </c>
      <c r="J19">
        <f>'Spectral Conv.'!T9*39.37</f>
        <v>1.673225</v>
      </c>
      <c r="K19">
        <f>'Spectral Conv.'!W9</f>
        <v>0.0659591053546801</v>
      </c>
    </row>
    <row r="20" spans="1:11" ht="12">
      <c r="A20" t="s">
        <v>22</v>
      </c>
      <c r="B20">
        <f>'Spectral Conv.'!Z7*39.37</f>
        <v>0</v>
      </c>
      <c r="C20">
        <f>'Spectral Conv.'!AC7</f>
        <v>0</v>
      </c>
      <c r="E20" t="s">
        <v>22</v>
      </c>
      <c r="F20">
        <f>'Spectral Conv.'!Z8*39.37</f>
        <v>1.4271625000000001</v>
      </c>
      <c r="G20">
        <f>'Spectral Conv.'!AC8</f>
        <v>0.06296096420219464</v>
      </c>
      <c r="I20" t="s">
        <v>22</v>
      </c>
      <c r="J20">
        <f>'Spectral Conv.'!Z9*39.37</f>
        <v>1.9685</v>
      </c>
      <c r="K20">
        <f>'Spectral Conv.'!AC9</f>
        <v>0.05696468189722372</v>
      </c>
    </row>
  </sheetData>
  <printOptions/>
  <pageMargins left="0.75" right="0.75" top="1" bottom="1" header="0.5" footer="0.5"/>
  <pageSetup fitToHeight="1" fitToWidth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Anna Lang</dc:creator>
  <cp:keywords/>
  <dc:description/>
  <cp:lastModifiedBy>Marjorie Greene</cp:lastModifiedBy>
  <cp:lastPrinted>2009-09-21T20:37:35Z</cp:lastPrinted>
  <dcterms:created xsi:type="dcterms:W3CDTF">2009-07-14T17:54:06Z</dcterms:created>
  <dcterms:modified xsi:type="dcterms:W3CDTF">2010-05-13T15:54:56Z</dcterms:modified>
  <cp:category/>
  <cp:version/>
  <cp:contentType/>
  <cp:contentStatus/>
</cp:coreProperties>
</file>